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10.2.21.165\共有フォルダ\助成G\R4\02補助金関係\☆19_２次実績報告\02_診療検査\☆申請データ\"/>
    </mc:Choice>
  </mc:AlternateContent>
  <xr:revisionPtr revIDLastSave="0" documentId="13_ncr:1_{E81DE710-34CB-4DD6-BC39-026D69CD709B}" xr6:coauthVersionLast="47" xr6:coauthVersionMax="47" xr10:uidLastSave="{00000000-0000-0000-0000-000000000000}"/>
  <workbookProtection workbookAlgorithmName="SHA-512" workbookHashValue="pUANtxXGzJMxPRXVXgQ4NzQqnoU27lt7O/n3W+T8ML9Qtk4I7clqddNBdoYwyHdLCMzhTZP2JIFxtcpSpDcQLg==" workbookSaltValue="azLlvLAyw6s4UpJKP+pA/Q==" workbookSpinCount="100000" lockStructure="1"/>
  <bookViews>
    <workbookView xWindow="-120" yWindow="-120" windowWidth="29040" windowHeight="15840" tabRatio="743" firstSheet="1" activeTab="1" xr2:uid="{00000000-000D-0000-FFFF-FFFF00000000}"/>
  </bookViews>
  <sheets>
    <sheet name="テーブル" sheetId="18" state="hidden" r:id="rId1"/>
    <sheet name="はじめに入力してください" sheetId="12" r:id="rId2"/>
    <sheet name="振込先情報" sheetId="17" state="hidden" r:id="rId3"/>
    <sheet name="請求書" sheetId="20" r:id="rId4"/>
    <sheet name="表紙" sheetId="3" r:id="rId5"/>
    <sheet name="経費書" sheetId="2" r:id="rId6"/>
    <sheet name="額内訳書" sheetId="1" r:id="rId7"/>
    <sheet name="明細（空清機・パーテ・ベッド）" sheetId="21" r:id="rId8"/>
    <sheet name="防護具明細" sheetId="4" r:id="rId9"/>
    <sheet name="診療室明細" sheetId="5" r:id="rId10"/>
    <sheet name="歳入歳出抄本" sheetId="15" r:id="rId11"/>
    <sheet name="リスト" sheetId="19" state="hidden" r:id="rId12"/>
  </sheets>
  <definedNames>
    <definedName name="_xlnm._FilterDatabase" localSheetId="11" hidden="1">リスト!$A$2:$BK$653</definedName>
    <definedName name="_xlnm.Print_Area" localSheetId="1">はじめに入力してください!$B$1:$AC$43</definedName>
    <definedName name="_xlnm.Print_Area" localSheetId="11">リスト!$A$1:$BI$778</definedName>
    <definedName name="_xlnm.Print_Area" localSheetId="6">額内訳書!$A$1:$Q$18</definedName>
    <definedName name="_xlnm.Print_Area" localSheetId="5">経費書!$A$1:$M$19</definedName>
    <definedName name="_xlnm.Print_Area" localSheetId="10">歳入歳出抄本!$A$1:$I$44</definedName>
    <definedName name="_xlnm.Print_Area" localSheetId="2">振込先情報!$A$2:$AJ$56</definedName>
    <definedName name="_xlnm.Print_Area" localSheetId="9">診療室明細!$A$1:$K$71</definedName>
    <definedName name="_xlnm.Print_Area" localSheetId="3">請求書!$A$1:$I$28</definedName>
    <definedName name="_xlnm.Print_Area" localSheetId="4">表紙!$A$2:$S$46</definedName>
    <definedName name="_xlnm.Print_Area" localSheetId="8">防護具明細!$A$1:$M$56</definedName>
    <definedName name="_xlnm.Print_Area" localSheetId="7">'明細（空清機・パーテ・ベッド）'!$B$1:$AK$51</definedName>
    <definedName name="_xlnm.Print_Titles" localSheetId="6">額内訳書!$2:$5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K12" i="19" l="1"/>
  <c r="BK13" i="19"/>
  <c r="BK14" i="19"/>
  <c r="BK15" i="19"/>
  <c r="BK16" i="19"/>
  <c r="BK17" i="19"/>
  <c r="BK18" i="19"/>
  <c r="BK19" i="19"/>
  <c r="BK20" i="19"/>
  <c r="BK21" i="19"/>
  <c r="BK22" i="19"/>
  <c r="BK23" i="19"/>
  <c r="BK24" i="19"/>
  <c r="BK25" i="19"/>
  <c r="BK26" i="19"/>
  <c r="BK27" i="19"/>
  <c r="BK28" i="19"/>
  <c r="BK29" i="19"/>
  <c r="BK30" i="19"/>
  <c r="BK31" i="19"/>
  <c r="BK32" i="19"/>
  <c r="BK33" i="19"/>
  <c r="BK34" i="19"/>
  <c r="BK35" i="19"/>
  <c r="BK36" i="19"/>
  <c r="BK37" i="19"/>
  <c r="BK38" i="19"/>
  <c r="BK39" i="19"/>
  <c r="BK40" i="19"/>
  <c r="BK41" i="19"/>
  <c r="BK42" i="19"/>
  <c r="BK44" i="19"/>
  <c r="BK45" i="19"/>
  <c r="BK46" i="19"/>
  <c r="BK47" i="19"/>
  <c r="BK48" i="19"/>
  <c r="BK49" i="19"/>
  <c r="BK50" i="19"/>
  <c r="BK51" i="19"/>
  <c r="BK52" i="19"/>
  <c r="BK53" i="19"/>
  <c r="BK54" i="19"/>
  <c r="BK55" i="19"/>
  <c r="BK56" i="19"/>
  <c r="BK57" i="19"/>
  <c r="BK58" i="19"/>
  <c r="BK59" i="19"/>
  <c r="BK60" i="19"/>
  <c r="BK61" i="19"/>
  <c r="BK62" i="19"/>
  <c r="BK63" i="19"/>
  <c r="BK64" i="19"/>
  <c r="BK65" i="19"/>
  <c r="BK66" i="19"/>
  <c r="BK67" i="19"/>
  <c r="BK68" i="19"/>
  <c r="BK69" i="19"/>
  <c r="BK70" i="19"/>
  <c r="BK71" i="19"/>
  <c r="BK72" i="19"/>
  <c r="BK73" i="19"/>
  <c r="BK74" i="19"/>
  <c r="BK75" i="19"/>
  <c r="BK76" i="19"/>
  <c r="BK77" i="19"/>
  <c r="BK78" i="19"/>
  <c r="BK79" i="19"/>
  <c r="BK80" i="19"/>
  <c r="BK81" i="19"/>
  <c r="BK82" i="19"/>
  <c r="BK83" i="19"/>
  <c r="BK84" i="19"/>
  <c r="BK85" i="19"/>
  <c r="BK86" i="19"/>
  <c r="BK87" i="19"/>
  <c r="BK88" i="19"/>
  <c r="BK89" i="19"/>
  <c r="BK90" i="19"/>
  <c r="BK91" i="19"/>
  <c r="BK92" i="19"/>
  <c r="BK93" i="19"/>
  <c r="BK94" i="19"/>
  <c r="BK95" i="19"/>
  <c r="BK96" i="19"/>
  <c r="BK97" i="19"/>
  <c r="BK98" i="19"/>
  <c r="BK99" i="19"/>
  <c r="BK100" i="19"/>
  <c r="BK101" i="19"/>
  <c r="BK102" i="19"/>
  <c r="BK103" i="19"/>
  <c r="BK104" i="19"/>
  <c r="BK105" i="19"/>
  <c r="BK106" i="19"/>
  <c r="BK107" i="19"/>
  <c r="BK108" i="19"/>
  <c r="BK109" i="19"/>
  <c r="BK110" i="19"/>
  <c r="BK111" i="19"/>
  <c r="BK112" i="19"/>
  <c r="BK113" i="19"/>
  <c r="BK114" i="19"/>
  <c r="BK115" i="19"/>
  <c r="BK116" i="19"/>
  <c r="BK117" i="19"/>
  <c r="BK118" i="19"/>
  <c r="BK119" i="19"/>
  <c r="BK120" i="19"/>
  <c r="BK121" i="19"/>
  <c r="BK122" i="19"/>
  <c r="BK123" i="19"/>
  <c r="BK124" i="19"/>
  <c r="BK125" i="19"/>
  <c r="BK126" i="19"/>
  <c r="BK127" i="19"/>
  <c r="BK128" i="19"/>
  <c r="BK129" i="19"/>
  <c r="BK130" i="19"/>
  <c r="BK131" i="19"/>
  <c r="BK132" i="19"/>
  <c r="BK133" i="19"/>
  <c r="BK134" i="19"/>
  <c r="BK135" i="19"/>
  <c r="BK136" i="19"/>
  <c r="BK137" i="19"/>
  <c r="BK138" i="19"/>
  <c r="BK139" i="19"/>
  <c r="BK140" i="19"/>
  <c r="BK141" i="19"/>
  <c r="BK142" i="19"/>
  <c r="BK143" i="19"/>
  <c r="BK144" i="19"/>
  <c r="BK145" i="19"/>
  <c r="BK146" i="19"/>
  <c r="BK147" i="19"/>
  <c r="BK148" i="19"/>
  <c r="BK149" i="19"/>
  <c r="BK150" i="19"/>
  <c r="BK151" i="19"/>
  <c r="BK152" i="19"/>
  <c r="BK153" i="19"/>
  <c r="BK154" i="19"/>
  <c r="BK155" i="19"/>
  <c r="BK156" i="19"/>
  <c r="BK157" i="19"/>
  <c r="BK158" i="19"/>
  <c r="BK159" i="19"/>
  <c r="BK160" i="19"/>
  <c r="BK161" i="19"/>
  <c r="BK162" i="19"/>
  <c r="BK163" i="19"/>
  <c r="BK164" i="19"/>
  <c r="BK165" i="19"/>
  <c r="BK166" i="19"/>
  <c r="BK167" i="19"/>
  <c r="BK168" i="19"/>
  <c r="BK169" i="19"/>
  <c r="BK170" i="19"/>
  <c r="BK171" i="19"/>
  <c r="BK172" i="19"/>
  <c r="BK173" i="19"/>
  <c r="BK174" i="19"/>
  <c r="BK175" i="19"/>
  <c r="BK176" i="19"/>
  <c r="BK177" i="19"/>
  <c r="BK178" i="19"/>
  <c r="BK179" i="19"/>
  <c r="BK180" i="19"/>
  <c r="BK181" i="19"/>
  <c r="BK182" i="19"/>
  <c r="BK183" i="19"/>
  <c r="BK184" i="19"/>
  <c r="BK185" i="19"/>
  <c r="BK186" i="19"/>
  <c r="BK187" i="19"/>
  <c r="BK188" i="19"/>
  <c r="BK189" i="19"/>
  <c r="BK190" i="19"/>
  <c r="BK191" i="19"/>
  <c r="BK192" i="19"/>
  <c r="BK193" i="19"/>
  <c r="BK194" i="19"/>
  <c r="BK195" i="19"/>
  <c r="BK196" i="19"/>
  <c r="BK197" i="19"/>
  <c r="BK198" i="19"/>
  <c r="BK199" i="19"/>
  <c r="BK200" i="19"/>
  <c r="BK201" i="19"/>
  <c r="BK202" i="19"/>
  <c r="BK203" i="19"/>
  <c r="BK204" i="19"/>
  <c r="BK205" i="19"/>
  <c r="BK206" i="19"/>
  <c r="BK207" i="19"/>
  <c r="BK208" i="19"/>
  <c r="BK209" i="19"/>
  <c r="BK210" i="19"/>
  <c r="BK211" i="19"/>
  <c r="BK212" i="19"/>
  <c r="BK213" i="19"/>
  <c r="BK214" i="19"/>
  <c r="BK215" i="19"/>
  <c r="BK216" i="19"/>
  <c r="BK217" i="19"/>
  <c r="BK218" i="19"/>
  <c r="BK219" i="19"/>
  <c r="BK220" i="19"/>
  <c r="BK222" i="19"/>
  <c r="BK223" i="19"/>
  <c r="BK224" i="19"/>
  <c r="BK225" i="19"/>
  <c r="BK226" i="19"/>
  <c r="BK227" i="19"/>
  <c r="BK228" i="19"/>
  <c r="BK229" i="19"/>
  <c r="BK230" i="19"/>
  <c r="BK231" i="19"/>
  <c r="BK232" i="19"/>
  <c r="BK233" i="19"/>
  <c r="BK234" i="19"/>
  <c r="BK235" i="19"/>
  <c r="BK236" i="19"/>
  <c r="BK237" i="19"/>
  <c r="BK238" i="19"/>
  <c r="BK239" i="19"/>
  <c r="BK240" i="19"/>
  <c r="BK241" i="19"/>
  <c r="BK242" i="19"/>
  <c r="BK243" i="19"/>
  <c r="BK244" i="19"/>
  <c r="BK245" i="19"/>
  <c r="BK246" i="19"/>
  <c r="BK247" i="19"/>
  <c r="BK248" i="19"/>
  <c r="BK249" i="19"/>
  <c r="BK250" i="19"/>
  <c r="BK251" i="19"/>
  <c r="BK252" i="19"/>
  <c r="BK253" i="19"/>
  <c r="BK254" i="19"/>
  <c r="BK255" i="19"/>
  <c r="BK256" i="19"/>
  <c r="BK257" i="19"/>
  <c r="BK258" i="19"/>
  <c r="BK259" i="19"/>
  <c r="BK260" i="19"/>
  <c r="BK261" i="19"/>
  <c r="BK262" i="19"/>
  <c r="BK263" i="19"/>
  <c r="BK264" i="19"/>
  <c r="BK265" i="19"/>
  <c r="BK266" i="19"/>
  <c r="BK267" i="19"/>
  <c r="BK268" i="19"/>
  <c r="BK269" i="19"/>
  <c r="BK270" i="19"/>
  <c r="BK271" i="19"/>
  <c r="BK272" i="19"/>
  <c r="BK273" i="19"/>
  <c r="BK274" i="19"/>
  <c r="BK275" i="19"/>
  <c r="BK276" i="19"/>
  <c r="BK277" i="19"/>
  <c r="BK278" i="19"/>
  <c r="BK279" i="19"/>
  <c r="BK280" i="19"/>
  <c r="BK281" i="19"/>
  <c r="BK282" i="19"/>
  <c r="BK283" i="19"/>
  <c r="BK284" i="19"/>
  <c r="BK285" i="19"/>
  <c r="BK286" i="19"/>
  <c r="BK287" i="19"/>
  <c r="BK288" i="19"/>
  <c r="BK289" i="19"/>
  <c r="BK290" i="19"/>
  <c r="BK291" i="19"/>
  <c r="BK292" i="19"/>
  <c r="BK293" i="19"/>
  <c r="BK294" i="19"/>
  <c r="BK295" i="19"/>
  <c r="BK296" i="19"/>
  <c r="BK297" i="19"/>
  <c r="BK298" i="19"/>
  <c r="BK299" i="19"/>
  <c r="BK300" i="19"/>
  <c r="BK301" i="19"/>
  <c r="BK302" i="19"/>
  <c r="BK303" i="19"/>
  <c r="BK304" i="19"/>
  <c r="BK305" i="19"/>
  <c r="BK306" i="19"/>
  <c r="BK307" i="19"/>
  <c r="BK308" i="19"/>
  <c r="BK309" i="19"/>
  <c r="BK310" i="19"/>
  <c r="BK311" i="19"/>
  <c r="BK312" i="19"/>
  <c r="BK313" i="19"/>
  <c r="BK314" i="19"/>
  <c r="BK315" i="19"/>
  <c r="BK316" i="19"/>
  <c r="BK317" i="19"/>
  <c r="BK318" i="19"/>
  <c r="BK319" i="19"/>
  <c r="BK320" i="19"/>
  <c r="BK321" i="19"/>
  <c r="BK322" i="19"/>
  <c r="BK323" i="19"/>
  <c r="BK324" i="19"/>
  <c r="BK325" i="19"/>
  <c r="BK326" i="19"/>
  <c r="BK327" i="19"/>
  <c r="BK328" i="19"/>
  <c r="BK329" i="19"/>
  <c r="BK330" i="19"/>
  <c r="BK331" i="19"/>
  <c r="BK332" i="19"/>
  <c r="BK333" i="19"/>
  <c r="BK334" i="19"/>
  <c r="BK335" i="19"/>
  <c r="BK336" i="19"/>
  <c r="BK337" i="19"/>
  <c r="BK338" i="19"/>
  <c r="BK339" i="19"/>
  <c r="BK340" i="19"/>
  <c r="BK341" i="19"/>
  <c r="BK342" i="19"/>
  <c r="BK343" i="19"/>
  <c r="BK344" i="19"/>
  <c r="BK345" i="19"/>
  <c r="BK346" i="19"/>
  <c r="BK347" i="19"/>
  <c r="BK348" i="19"/>
  <c r="BK349" i="19"/>
  <c r="BK350" i="19"/>
  <c r="BK351" i="19"/>
  <c r="BK352" i="19"/>
  <c r="BK353" i="19"/>
  <c r="BK354" i="19"/>
  <c r="BK355" i="19"/>
  <c r="BK356" i="19"/>
  <c r="BK357" i="19"/>
  <c r="BK358" i="19"/>
  <c r="BK359" i="19"/>
  <c r="BK360" i="19"/>
  <c r="BK361" i="19"/>
  <c r="BK362" i="19"/>
  <c r="BK363" i="19"/>
  <c r="BK364" i="19"/>
  <c r="BK365" i="19"/>
  <c r="BK366" i="19"/>
  <c r="BK367" i="19"/>
  <c r="BK368" i="19"/>
  <c r="BK369" i="19"/>
  <c r="BK370" i="19"/>
  <c r="BK371" i="19"/>
  <c r="BK372" i="19"/>
  <c r="BK373" i="19"/>
  <c r="BK374" i="19"/>
  <c r="BK375" i="19"/>
  <c r="BK376" i="19"/>
  <c r="BK377" i="19"/>
  <c r="BK378" i="19"/>
  <c r="BK379" i="19"/>
  <c r="BK380" i="19"/>
  <c r="BK381" i="19"/>
  <c r="BK382" i="19"/>
  <c r="BK383" i="19"/>
  <c r="BK384" i="19"/>
  <c r="BK385" i="19"/>
  <c r="BK386" i="19"/>
  <c r="BK387" i="19"/>
  <c r="BK388" i="19"/>
  <c r="BK389" i="19"/>
  <c r="BK390" i="19"/>
  <c r="BK391" i="19"/>
  <c r="BK392" i="19"/>
  <c r="BK393" i="19"/>
  <c r="BK394" i="19"/>
  <c r="BK395" i="19"/>
  <c r="BK396" i="19"/>
  <c r="BK397" i="19"/>
  <c r="BK398" i="19"/>
  <c r="BK399" i="19"/>
  <c r="BK400" i="19"/>
  <c r="BK401" i="19"/>
  <c r="BK402" i="19"/>
  <c r="BK403" i="19"/>
  <c r="BK404" i="19"/>
  <c r="BK405" i="19"/>
  <c r="BK407" i="19"/>
  <c r="BK408" i="19"/>
  <c r="BK409" i="19"/>
  <c r="BK410" i="19"/>
  <c r="BK411" i="19"/>
  <c r="BK412" i="19"/>
  <c r="BK413" i="19"/>
  <c r="BK414" i="19"/>
  <c r="BK415" i="19"/>
  <c r="BK416" i="19"/>
  <c r="BK417" i="19"/>
  <c r="BK418" i="19"/>
  <c r="BK419" i="19"/>
  <c r="BK420" i="19"/>
  <c r="BK421" i="19"/>
  <c r="BK422" i="19"/>
  <c r="BK423" i="19"/>
  <c r="BK424" i="19"/>
  <c r="BK425" i="19"/>
  <c r="BK426" i="19"/>
  <c r="BK427" i="19"/>
  <c r="BK428" i="19"/>
  <c r="BK429" i="19"/>
  <c r="BK430" i="19"/>
  <c r="BK431" i="19"/>
  <c r="BK432" i="19"/>
  <c r="BK433" i="19"/>
  <c r="BK434" i="19"/>
  <c r="BK435" i="19"/>
  <c r="BK436" i="19"/>
  <c r="BK437" i="19"/>
  <c r="BK438" i="19"/>
  <c r="BK439" i="19"/>
  <c r="BK440" i="19"/>
  <c r="BK441" i="19"/>
  <c r="BK442" i="19"/>
  <c r="BK443" i="19"/>
  <c r="BK444" i="19"/>
  <c r="BK445" i="19"/>
  <c r="BK446" i="19"/>
  <c r="BK447" i="19"/>
  <c r="BK448" i="19"/>
  <c r="BK449" i="19"/>
  <c r="BK450" i="19"/>
  <c r="BK451" i="19"/>
  <c r="BK452" i="19"/>
  <c r="BK453" i="19"/>
  <c r="BK454" i="19"/>
  <c r="BK455" i="19"/>
  <c r="BK456" i="19"/>
  <c r="BK457" i="19"/>
  <c r="BK458" i="19"/>
  <c r="BK459" i="19"/>
  <c r="BK460" i="19"/>
  <c r="BK461" i="19"/>
  <c r="BK462" i="19"/>
  <c r="BK463" i="19"/>
  <c r="BK464" i="19"/>
  <c r="BK465" i="19"/>
  <c r="BK466" i="19"/>
  <c r="BK467" i="19"/>
  <c r="BK468" i="19"/>
  <c r="BK469" i="19"/>
  <c r="BK470" i="19"/>
  <c r="BK471" i="19"/>
  <c r="BK472" i="19"/>
  <c r="BK473" i="19"/>
  <c r="BK474" i="19"/>
  <c r="BK475" i="19"/>
  <c r="BK476" i="19"/>
  <c r="BK477" i="19"/>
  <c r="BK478" i="19"/>
  <c r="BK479" i="19"/>
  <c r="BK480" i="19"/>
  <c r="BK481" i="19"/>
  <c r="BK482" i="19"/>
  <c r="BK483" i="19"/>
  <c r="BK484" i="19"/>
  <c r="BK485" i="19"/>
  <c r="BK486" i="19"/>
  <c r="BK487" i="19"/>
  <c r="BK488" i="19"/>
  <c r="BK489" i="19"/>
  <c r="BK490" i="19"/>
  <c r="BK491" i="19"/>
  <c r="BK492" i="19"/>
  <c r="BK493" i="19"/>
  <c r="BK494" i="19"/>
  <c r="BK495" i="19"/>
  <c r="BK496" i="19"/>
  <c r="BK497" i="19"/>
  <c r="BK498" i="19"/>
  <c r="BK499" i="19"/>
  <c r="BK501" i="19"/>
  <c r="BK502" i="19"/>
  <c r="BK503" i="19"/>
  <c r="BK504" i="19"/>
  <c r="BK505" i="19"/>
  <c r="BK506" i="19"/>
  <c r="BK507" i="19"/>
  <c r="BK508" i="19"/>
  <c r="BK509" i="19"/>
  <c r="BK510" i="19"/>
  <c r="BK511" i="19"/>
  <c r="BK512" i="19"/>
  <c r="BK513" i="19"/>
  <c r="BK514" i="19"/>
  <c r="BK515" i="19"/>
  <c r="BK516" i="19"/>
  <c r="BK517" i="19"/>
  <c r="BK518" i="19"/>
  <c r="BK519" i="19"/>
  <c r="BK520" i="19"/>
  <c r="BK521" i="19"/>
  <c r="BK522" i="19"/>
  <c r="BK523" i="19"/>
  <c r="BK524" i="19"/>
  <c r="BK525" i="19"/>
  <c r="BK526" i="19"/>
  <c r="BK527" i="19"/>
  <c r="BK528" i="19"/>
  <c r="BK529" i="19"/>
  <c r="BK530" i="19"/>
  <c r="BK531" i="19"/>
  <c r="BK532" i="19"/>
  <c r="BK533" i="19"/>
  <c r="BK534" i="19"/>
  <c r="BK535" i="19"/>
  <c r="BK536" i="19"/>
  <c r="BK537" i="19"/>
  <c r="BK538" i="19"/>
  <c r="BK539" i="19"/>
  <c r="BK540" i="19"/>
  <c r="BK541" i="19"/>
  <c r="BK542" i="19"/>
  <c r="BK543" i="19"/>
  <c r="BK544" i="19"/>
  <c r="BK545" i="19"/>
  <c r="BK546" i="19"/>
  <c r="BK547" i="19"/>
  <c r="BK548" i="19"/>
  <c r="BK549" i="19"/>
  <c r="BK550" i="19"/>
  <c r="BK551" i="19"/>
  <c r="BK552" i="19"/>
  <c r="BK553" i="19"/>
  <c r="BK554" i="19"/>
  <c r="BK555" i="19"/>
  <c r="BK556" i="19"/>
  <c r="BK557" i="19"/>
  <c r="BK558" i="19"/>
  <c r="BK559" i="19"/>
  <c r="BK560" i="19"/>
  <c r="BK561" i="19"/>
  <c r="BK562" i="19"/>
  <c r="BK563" i="19"/>
  <c r="BK564" i="19"/>
  <c r="BK565" i="19"/>
  <c r="BK566" i="19"/>
  <c r="BK567" i="19"/>
  <c r="BK568" i="19"/>
  <c r="BK569" i="19"/>
  <c r="BK570" i="19"/>
  <c r="BK571" i="19"/>
  <c r="BK572" i="19"/>
  <c r="BK573" i="19"/>
  <c r="BK574" i="19"/>
  <c r="BK575" i="19"/>
  <c r="BK576" i="19"/>
  <c r="BK577" i="19"/>
  <c r="BK578" i="19"/>
  <c r="BK579" i="19"/>
  <c r="BK580" i="19"/>
  <c r="BK581" i="19"/>
  <c r="BK582" i="19"/>
  <c r="BK583" i="19"/>
  <c r="BK584" i="19"/>
  <c r="BK585" i="19"/>
  <c r="BK586" i="19"/>
  <c r="BK587" i="19"/>
  <c r="BK588" i="19"/>
  <c r="BK589" i="19"/>
  <c r="BK590" i="19"/>
  <c r="BK591" i="19"/>
  <c r="BK592" i="19"/>
  <c r="BK593" i="19"/>
  <c r="BK594" i="19"/>
  <c r="BK595" i="19"/>
  <c r="BK596" i="19"/>
  <c r="BK597" i="19"/>
  <c r="BK598" i="19"/>
  <c r="BK599" i="19"/>
  <c r="BK600" i="19"/>
  <c r="BK601" i="19"/>
  <c r="BK602" i="19"/>
  <c r="BK603" i="19"/>
  <c r="BK604" i="19"/>
  <c r="BK605" i="19"/>
  <c r="BK606" i="19"/>
  <c r="BK607" i="19"/>
  <c r="BK608" i="19"/>
  <c r="BK609" i="19"/>
  <c r="BK610" i="19"/>
  <c r="BK611" i="19"/>
  <c r="BK612" i="19"/>
  <c r="BK613" i="19"/>
  <c r="BK614" i="19"/>
  <c r="BK615" i="19"/>
  <c r="BK616" i="19"/>
  <c r="BK617" i="19"/>
  <c r="BK618" i="19"/>
  <c r="BK619" i="19"/>
  <c r="BK620" i="19"/>
  <c r="BK621" i="19"/>
  <c r="BK622" i="19"/>
  <c r="BK623" i="19"/>
  <c r="BK624" i="19"/>
  <c r="BK625" i="19"/>
  <c r="BK626" i="19"/>
  <c r="BK627" i="19"/>
  <c r="BK628" i="19"/>
  <c r="BK629" i="19"/>
  <c r="BK630" i="19"/>
  <c r="BK631" i="19"/>
  <c r="BK632" i="19"/>
  <c r="BK633" i="19"/>
  <c r="BK634" i="19"/>
  <c r="BK635" i="19"/>
  <c r="BK636" i="19"/>
  <c r="BK637" i="19"/>
  <c r="BK638" i="19"/>
  <c r="BK639" i="19"/>
  <c r="BK640" i="19"/>
  <c r="BK641" i="19"/>
  <c r="BK642" i="19"/>
  <c r="BK643" i="19"/>
  <c r="BK644" i="19"/>
  <c r="BK645" i="19"/>
  <c r="BK646" i="19"/>
  <c r="BK647" i="19"/>
  <c r="BK648" i="19"/>
  <c r="BK649" i="19"/>
  <c r="BK650" i="19"/>
  <c r="BK651" i="19"/>
  <c r="BK652" i="19"/>
  <c r="BK653" i="19"/>
  <c r="BK654" i="19"/>
  <c r="BK655" i="19"/>
  <c r="BK656" i="19"/>
  <c r="BK657" i="19"/>
  <c r="BK4" i="19"/>
  <c r="BK5" i="19"/>
  <c r="BK6" i="19"/>
  <c r="BK7" i="19"/>
  <c r="BK8" i="19"/>
  <c r="BK9" i="19"/>
  <c r="BK10" i="19"/>
  <c r="BK11" i="19"/>
  <c r="BK3" i="19"/>
  <c r="P18" i="12"/>
  <c r="AK8" i="1"/>
  <c r="AL8" i="1"/>
  <c r="AK9" i="1"/>
  <c r="AL9" i="1"/>
  <c r="AK10" i="1"/>
  <c r="AL10" i="1"/>
  <c r="AK11" i="1"/>
  <c r="AL11" i="1"/>
  <c r="AK12" i="1"/>
  <c r="AL12" i="1"/>
  <c r="AK13" i="1"/>
  <c r="AL13" i="1"/>
  <c r="AK14" i="1"/>
  <c r="AL14" i="1"/>
  <c r="AK15" i="1"/>
  <c r="AL15" i="1"/>
  <c r="AK16" i="1"/>
  <c r="AL16" i="1"/>
  <c r="AK17" i="1"/>
  <c r="AL17" i="1"/>
  <c r="AL7" i="1"/>
  <c r="AK7" i="1"/>
  <c r="AJ7" i="1"/>
  <c r="M5" i="2"/>
  <c r="AN53" i="3"/>
  <c r="E10" i="1"/>
  <c r="E9" i="1"/>
  <c r="D24" i="20"/>
  <c r="E15" i="18"/>
  <c r="D15" i="18"/>
  <c r="C15" i="18"/>
  <c r="M15" i="2"/>
  <c r="M13" i="2"/>
  <c r="M11" i="2"/>
  <c r="M9" i="2"/>
  <c r="M7" i="2"/>
  <c r="AG18" i="12"/>
  <c r="M17" i="2" l="1"/>
  <c r="AJ8" i="1"/>
  <c r="AI8" i="1" s="1"/>
  <c r="AJ9" i="1"/>
  <c r="AI9" i="1" s="1"/>
  <c r="AJ10" i="1"/>
  <c r="AI10" i="1" s="1"/>
  <c r="AJ11" i="1"/>
  <c r="AI11" i="1" s="1"/>
  <c r="AJ12" i="1"/>
  <c r="AI12" i="1" s="1"/>
  <c r="AJ13" i="1"/>
  <c r="AI13" i="1" s="1"/>
  <c r="AJ14" i="1"/>
  <c r="AI14" i="1" s="1"/>
  <c r="AJ15" i="1"/>
  <c r="AI15" i="1" s="1"/>
  <c r="AJ16" i="1"/>
  <c r="AI16" i="1" s="1"/>
  <c r="AJ17" i="1"/>
  <c r="AI17" i="1" s="1"/>
  <c r="AI7" i="1"/>
  <c r="I1" i="5"/>
  <c r="E14" i="18" l="1"/>
  <c r="D14" i="18"/>
  <c r="C14" i="18"/>
  <c r="AE1" i="21"/>
  <c r="G1" i="15"/>
  <c r="O2" i="3"/>
  <c r="K1" i="4"/>
  <c r="K1" i="1"/>
  <c r="J1" i="2"/>
  <c r="I4" i="2"/>
  <c r="C43" i="12" l="1"/>
  <c r="AF25" i="12"/>
  <c r="AF24" i="12"/>
  <c r="AF23" i="12"/>
  <c r="AF22" i="12"/>
  <c r="AF21" i="12"/>
  <c r="AF20" i="12"/>
  <c r="AF19" i="12"/>
  <c r="AF17" i="12"/>
  <c r="AF16" i="12"/>
  <c r="AF14" i="12"/>
  <c r="AF15" i="12"/>
  <c r="AB2" i="17" l="1"/>
  <c r="F1" i="20"/>
  <c r="AF7" i="12" l="1"/>
  <c r="AF8" i="12"/>
  <c r="AF9" i="12"/>
  <c r="AF10" i="12"/>
  <c r="AF11" i="12"/>
  <c r="AF6" i="12"/>
  <c r="O18" i="12"/>
  <c r="C18" i="12"/>
  <c r="P17" i="12"/>
  <c r="C21" i="12"/>
  <c r="C19" i="12"/>
  <c r="E13" i="18"/>
  <c r="D13" i="18"/>
  <c r="C13" i="18"/>
  <c r="A11" i="4" l="1"/>
  <c r="P24" i="12"/>
  <c r="O24" i="12"/>
  <c r="P26" i="12"/>
  <c r="C39" i="12" l="1"/>
  <c r="C38" i="12"/>
  <c r="C37" i="12"/>
  <c r="C36" i="12"/>
  <c r="O16" i="12"/>
  <c r="P16" i="12" l="1"/>
  <c r="L45" i="3"/>
  <c r="W48" i="21"/>
  <c r="W49" i="21"/>
  <c r="W50" i="21"/>
  <c r="W47" i="21"/>
  <c r="AB47" i="21" s="1"/>
  <c r="X61" i="5"/>
  <c r="AC61" i="5" s="1"/>
  <c r="Y61" i="5"/>
  <c r="X62" i="5"/>
  <c r="AC62" i="5" s="1"/>
  <c r="Y62" i="5"/>
  <c r="X63" i="5"/>
  <c r="AC63" i="5" s="1"/>
  <c r="Y63" i="5"/>
  <c r="X64" i="5"/>
  <c r="AC64" i="5" s="1"/>
  <c r="Y64" i="5"/>
  <c r="X65" i="5"/>
  <c r="AC65" i="5" s="1"/>
  <c r="Y65" i="5"/>
  <c r="X66" i="5"/>
  <c r="AC66" i="5" s="1"/>
  <c r="Y66" i="5"/>
  <c r="X67" i="5"/>
  <c r="AC67" i="5" s="1"/>
  <c r="Y67" i="5"/>
  <c r="X68" i="5"/>
  <c r="AC68" i="5" s="1"/>
  <c r="Y68" i="5"/>
  <c r="X69" i="5"/>
  <c r="AC69" i="5" s="1"/>
  <c r="Y69" i="5"/>
  <c r="X70" i="5"/>
  <c r="AC70" i="5" s="1"/>
  <c r="Y70" i="5"/>
  <c r="AS8" i="1"/>
  <c r="AS9" i="1"/>
  <c r="AS10" i="1"/>
  <c r="AS11" i="1"/>
  <c r="AS12" i="1"/>
  <c r="AS13" i="1"/>
  <c r="AS14" i="1"/>
  <c r="AS15" i="1"/>
  <c r="AS16" i="1"/>
  <c r="AS17" i="1"/>
  <c r="AS7" i="1"/>
  <c r="K7" i="2"/>
  <c r="Y38" i="5"/>
  <c r="X32" i="5"/>
  <c r="AC32" i="5" s="1"/>
  <c r="Y32" i="5"/>
  <c r="X33" i="5"/>
  <c r="AC33" i="5" s="1"/>
  <c r="Y33" i="5"/>
  <c r="X34" i="5"/>
  <c r="AC34" i="5" s="1"/>
  <c r="Y34" i="5"/>
  <c r="X35" i="5"/>
  <c r="AC35" i="5" s="1"/>
  <c r="Y35" i="5"/>
  <c r="X36" i="5"/>
  <c r="AC36" i="5" s="1"/>
  <c r="Y36" i="5"/>
  <c r="X37" i="5"/>
  <c r="AC37" i="5" s="1"/>
  <c r="Y37" i="5"/>
  <c r="X38" i="5"/>
  <c r="AC38" i="5" s="1"/>
  <c r="X39" i="5"/>
  <c r="AC39" i="5" s="1"/>
  <c r="Y39" i="5"/>
  <c r="X40" i="5"/>
  <c r="AC40" i="5" s="1"/>
  <c r="Y40" i="5"/>
  <c r="X41" i="5"/>
  <c r="AC41" i="5" s="1"/>
  <c r="Y41" i="5"/>
  <c r="X42" i="5"/>
  <c r="AC42" i="5" s="1"/>
  <c r="Y42" i="5"/>
  <c r="X43" i="5"/>
  <c r="AC43" i="5" s="1"/>
  <c r="Y43" i="5"/>
  <c r="X44" i="5"/>
  <c r="AC44" i="5" s="1"/>
  <c r="Y44" i="5"/>
  <c r="X45" i="5"/>
  <c r="AC45" i="5" s="1"/>
  <c r="Y45" i="5"/>
  <c r="X46" i="5"/>
  <c r="AC46" i="5" s="1"/>
  <c r="Y46" i="5"/>
  <c r="X47" i="5"/>
  <c r="AC47" i="5" s="1"/>
  <c r="Y47" i="5"/>
  <c r="X48" i="5"/>
  <c r="AC48" i="5" s="1"/>
  <c r="Y48" i="5"/>
  <c r="X49" i="5"/>
  <c r="AC49" i="5" s="1"/>
  <c r="Y49" i="5"/>
  <c r="X50" i="5"/>
  <c r="AC50" i="5" s="1"/>
  <c r="Y50" i="5"/>
  <c r="X51" i="5"/>
  <c r="AC51" i="5" s="1"/>
  <c r="Y51" i="5"/>
  <c r="X52" i="5"/>
  <c r="AC52" i="5" s="1"/>
  <c r="Y52" i="5"/>
  <c r="X53" i="5"/>
  <c r="AC53" i="5" s="1"/>
  <c r="Y53" i="5"/>
  <c r="X54" i="5"/>
  <c r="AC54" i="5" s="1"/>
  <c r="Y54" i="5"/>
  <c r="X55" i="5"/>
  <c r="AC55" i="5" s="1"/>
  <c r="Y55" i="5"/>
  <c r="X56" i="5"/>
  <c r="AC56" i="5" s="1"/>
  <c r="Y56" i="5"/>
  <c r="X57" i="5"/>
  <c r="AC57" i="5" s="1"/>
  <c r="Y57" i="5"/>
  <c r="X58" i="5"/>
  <c r="AC58" i="5" s="1"/>
  <c r="Y58" i="5"/>
  <c r="X59" i="5"/>
  <c r="AC59" i="5" s="1"/>
  <c r="Y59" i="5"/>
  <c r="X60" i="5"/>
  <c r="AC60" i="5" s="1"/>
  <c r="Y60" i="5"/>
  <c r="Y31" i="5"/>
  <c r="X31" i="5"/>
  <c r="F69" i="5"/>
  <c r="G69" i="5" s="1"/>
  <c r="F70" i="5"/>
  <c r="G70" i="5" s="1"/>
  <c r="F61" i="5"/>
  <c r="G61" i="5" s="1"/>
  <c r="F62" i="5"/>
  <c r="G62" i="5" s="1"/>
  <c r="F63" i="5"/>
  <c r="G63" i="5" s="1"/>
  <c r="F64" i="5"/>
  <c r="G64" i="5" s="1"/>
  <c r="F65" i="5"/>
  <c r="G65" i="5" s="1"/>
  <c r="F66" i="5"/>
  <c r="G66" i="5" s="1"/>
  <c r="F67" i="5"/>
  <c r="G67" i="5" s="1"/>
  <c r="J67" i="5"/>
  <c r="F68" i="5"/>
  <c r="G68" i="5" s="1"/>
  <c r="F32" i="5"/>
  <c r="G32" i="5" s="1"/>
  <c r="F33" i="5"/>
  <c r="G33" i="5" s="1"/>
  <c r="F34" i="5"/>
  <c r="G34" i="5" s="1"/>
  <c r="F35" i="5"/>
  <c r="G35" i="5" s="1"/>
  <c r="F36" i="5"/>
  <c r="G36" i="5" s="1"/>
  <c r="F37" i="5"/>
  <c r="G37" i="5" s="1"/>
  <c r="F38" i="5"/>
  <c r="G38" i="5" s="1"/>
  <c r="F39" i="5"/>
  <c r="G39" i="5" s="1"/>
  <c r="F40" i="5"/>
  <c r="G40" i="5" s="1"/>
  <c r="F41" i="5"/>
  <c r="G41" i="5" s="1"/>
  <c r="F42" i="5"/>
  <c r="G42" i="5" s="1"/>
  <c r="F43" i="5"/>
  <c r="G43" i="5" s="1"/>
  <c r="F44" i="5"/>
  <c r="G44" i="5" s="1"/>
  <c r="F45" i="5"/>
  <c r="G45" i="5" s="1"/>
  <c r="F46" i="5"/>
  <c r="G46" i="5" s="1"/>
  <c r="F47" i="5"/>
  <c r="G47" i="5" s="1"/>
  <c r="F48" i="5"/>
  <c r="G48" i="5" s="1"/>
  <c r="F49" i="5"/>
  <c r="G49" i="5" s="1"/>
  <c r="F50" i="5"/>
  <c r="G50" i="5" s="1"/>
  <c r="F51" i="5"/>
  <c r="G51" i="5" s="1"/>
  <c r="F52" i="5"/>
  <c r="G52" i="5" s="1"/>
  <c r="F53" i="5"/>
  <c r="G53" i="5" s="1"/>
  <c r="F54" i="5"/>
  <c r="G54" i="5" s="1"/>
  <c r="F55" i="5"/>
  <c r="G55" i="5" s="1"/>
  <c r="F56" i="5"/>
  <c r="G56" i="5" s="1"/>
  <c r="F57" i="5"/>
  <c r="G57" i="5" s="1"/>
  <c r="F58" i="5"/>
  <c r="G58" i="5" s="1"/>
  <c r="F59" i="5"/>
  <c r="G59" i="5" s="1"/>
  <c r="F60" i="5"/>
  <c r="G60" i="5" s="1"/>
  <c r="F31" i="5"/>
  <c r="G31" i="5" s="1"/>
  <c r="F27" i="5"/>
  <c r="W16" i="5"/>
  <c r="AC3" i="5"/>
  <c r="AC2" i="5"/>
  <c r="AR124" i="4"/>
  <c r="AR125" i="4"/>
  <c r="AR127" i="4"/>
  <c r="AR123" i="4"/>
  <c r="F8" i="4"/>
  <c r="AH14" i="4"/>
  <c r="AH15" i="4"/>
  <c r="AH16" i="4"/>
  <c r="AH17" i="4"/>
  <c r="AH18" i="4"/>
  <c r="AH19" i="4"/>
  <c r="AH20" i="4"/>
  <c r="AH21" i="4"/>
  <c r="AH22" i="4"/>
  <c r="AH23" i="4"/>
  <c r="AH24" i="4"/>
  <c r="AH25" i="4"/>
  <c r="AH26" i="4"/>
  <c r="AH27" i="4"/>
  <c r="AH28" i="4"/>
  <c r="AH29" i="4"/>
  <c r="AH30" i="4"/>
  <c r="AH31" i="4"/>
  <c r="AH32" i="4"/>
  <c r="AH33" i="4"/>
  <c r="AH34" i="4"/>
  <c r="AH35" i="4"/>
  <c r="AH36" i="4"/>
  <c r="AH37" i="4"/>
  <c r="AH38" i="4"/>
  <c r="AH39" i="4"/>
  <c r="AH40" i="4"/>
  <c r="AH41" i="4"/>
  <c r="AH42" i="4"/>
  <c r="AH43" i="4"/>
  <c r="AH44" i="4"/>
  <c r="AH45" i="4"/>
  <c r="AH46" i="4"/>
  <c r="AH47" i="4"/>
  <c r="AH48" i="4"/>
  <c r="AH49" i="4"/>
  <c r="AH50" i="4"/>
  <c r="AH51" i="4"/>
  <c r="AH52" i="4"/>
  <c r="AH53" i="4"/>
  <c r="AH54" i="4"/>
  <c r="AH55" i="4"/>
  <c r="AH56" i="4"/>
  <c r="AH57" i="4"/>
  <c r="AH58" i="4"/>
  <c r="AH59" i="4"/>
  <c r="AH60" i="4"/>
  <c r="AH61" i="4"/>
  <c r="AH62" i="4"/>
  <c r="AH63" i="4"/>
  <c r="AH64" i="4"/>
  <c r="AH65" i="4"/>
  <c r="AH66" i="4"/>
  <c r="AH67" i="4"/>
  <c r="AH68" i="4"/>
  <c r="AH69" i="4"/>
  <c r="AH70" i="4"/>
  <c r="AH71" i="4"/>
  <c r="AH72" i="4"/>
  <c r="AH73" i="4"/>
  <c r="AH74" i="4"/>
  <c r="AH75" i="4"/>
  <c r="AH76" i="4"/>
  <c r="AH77" i="4"/>
  <c r="AH78" i="4"/>
  <c r="AH79" i="4"/>
  <c r="AH80" i="4"/>
  <c r="AH81" i="4"/>
  <c r="AH82" i="4"/>
  <c r="AH83" i="4"/>
  <c r="AH84" i="4"/>
  <c r="AH85" i="4"/>
  <c r="AH86" i="4"/>
  <c r="AH87" i="4"/>
  <c r="AH88" i="4"/>
  <c r="AH89" i="4"/>
  <c r="AH90" i="4"/>
  <c r="AH91" i="4"/>
  <c r="AH92" i="4"/>
  <c r="AH93" i="4"/>
  <c r="AH94" i="4"/>
  <c r="AH95" i="4"/>
  <c r="AH96" i="4"/>
  <c r="AH97" i="4"/>
  <c r="AH98" i="4"/>
  <c r="AH99" i="4"/>
  <c r="AH100" i="4"/>
  <c r="AH101" i="4"/>
  <c r="AH102" i="4"/>
  <c r="AH103" i="4"/>
  <c r="AH104" i="4"/>
  <c r="AH105" i="4"/>
  <c r="AH106" i="4"/>
  <c r="AH107" i="4"/>
  <c r="AH108" i="4"/>
  <c r="AH109" i="4"/>
  <c r="AH110" i="4"/>
  <c r="AH111" i="4"/>
  <c r="AH112" i="4"/>
  <c r="AH13" i="4"/>
  <c r="AR128" i="4" s="1"/>
  <c r="AE13" i="4"/>
  <c r="AE14" i="4"/>
  <c r="AF14" i="4"/>
  <c r="AE15" i="4"/>
  <c r="AF15" i="4"/>
  <c r="AE16" i="4"/>
  <c r="AF16" i="4"/>
  <c r="AE17" i="4"/>
  <c r="AF17" i="4"/>
  <c r="AE18" i="4"/>
  <c r="AF18" i="4"/>
  <c r="AE19" i="4"/>
  <c r="AF19" i="4"/>
  <c r="AE20" i="4"/>
  <c r="AF20" i="4"/>
  <c r="AE21" i="4"/>
  <c r="AF21" i="4"/>
  <c r="AE22" i="4"/>
  <c r="AF22" i="4"/>
  <c r="AE23" i="4"/>
  <c r="AF23" i="4"/>
  <c r="AE24" i="4"/>
  <c r="AF24" i="4"/>
  <c r="AE25" i="4"/>
  <c r="AF25" i="4"/>
  <c r="AE26" i="4"/>
  <c r="AF26" i="4"/>
  <c r="AE27" i="4"/>
  <c r="AF27" i="4"/>
  <c r="AE28" i="4"/>
  <c r="AF28" i="4"/>
  <c r="AE29" i="4"/>
  <c r="AF29" i="4"/>
  <c r="AE30" i="4"/>
  <c r="AF30" i="4"/>
  <c r="AE31" i="4"/>
  <c r="AF31" i="4"/>
  <c r="AE32" i="4"/>
  <c r="AF32" i="4"/>
  <c r="AE33" i="4"/>
  <c r="AF33" i="4"/>
  <c r="AE34" i="4"/>
  <c r="AF34" i="4"/>
  <c r="AE35" i="4"/>
  <c r="AF35" i="4"/>
  <c r="AE36" i="4"/>
  <c r="AF36" i="4"/>
  <c r="AE37" i="4"/>
  <c r="AF37" i="4"/>
  <c r="AE38" i="4"/>
  <c r="AF38" i="4"/>
  <c r="AE39" i="4"/>
  <c r="AF39" i="4"/>
  <c r="AE40" i="4"/>
  <c r="AF40" i="4"/>
  <c r="AE41" i="4"/>
  <c r="AF41" i="4"/>
  <c r="AE42" i="4"/>
  <c r="AF42" i="4"/>
  <c r="AE43" i="4"/>
  <c r="AF43" i="4"/>
  <c r="AE44" i="4"/>
  <c r="AF44" i="4"/>
  <c r="AE45" i="4"/>
  <c r="AF45" i="4"/>
  <c r="AE46" i="4"/>
  <c r="AF46" i="4"/>
  <c r="AE47" i="4"/>
  <c r="AF47" i="4"/>
  <c r="AE48" i="4"/>
  <c r="AF48" i="4"/>
  <c r="AE49" i="4"/>
  <c r="AF49" i="4"/>
  <c r="AE50" i="4"/>
  <c r="AF50" i="4"/>
  <c r="AE51" i="4"/>
  <c r="AF51" i="4"/>
  <c r="AE52" i="4"/>
  <c r="AF52" i="4"/>
  <c r="AE53" i="4"/>
  <c r="AF53" i="4"/>
  <c r="AE54" i="4"/>
  <c r="AF54" i="4"/>
  <c r="AE55" i="4"/>
  <c r="AF55" i="4"/>
  <c r="AE56" i="4"/>
  <c r="AF56" i="4"/>
  <c r="AE57" i="4"/>
  <c r="AF57" i="4"/>
  <c r="AE58" i="4"/>
  <c r="AF58" i="4"/>
  <c r="AE59" i="4"/>
  <c r="AF59" i="4"/>
  <c r="AE60" i="4"/>
  <c r="AF60" i="4"/>
  <c r="AE61" i="4"/>
  <c r="AF61" i="4"/>
  <c r="AE62" i="4"/>
  <c r="AF62" i="4"/>
  <c r="AE63" i="4"/>
  <c r="AF63" i="4"/>
  <c r="AE64" i="4"/>
  <c r="AF64" i="4"/>
  <c r="AE65" i="4"/>
  <c r="AF65" i="4"/>
  <c r="AE66" i="4"/>
  <c r="AF66" i="4"/>
  <c r="AE67" i="4"/>
  <c r="AF67" i="4"/>
  <c r="AE68" i="4"/>
  <c r="AF68" i="4"/>
  <c r="AE69" i="4"/>
  <c r="AF69" i="4"/>
  <c r="AE70" i="4"/>
  <c r="AF70" i="4"/>
  <c r="AE71" i="4"/>
  <c r="AF71" i="4"/>
  <c r="AE72" i="4"/>
  <c r="AF72" i="4"/>
  <c r="AE73" i="4"/>
  <c r="AF73" i="4"/>
  <c r="AE74" i="4"/>
  <c r="AF74" i="4"/>
  <c r="AE75" i="4"/>
  <c r="AF75" i="4"/>
  <c r="AE76" i="4"/>
  <c r="AF76" i="4"/>
  <c r="AE77" i="4"/>
  <c r="AF77" i="4"/>
  <c r="AE78" i="4"/>
  <c r="AF78" i="4"/>
  <c r="AE79" i="4"/>
  <c r="AF79" i="4"/>
  <c r="AE80" i="4"/>
  <c r="AF80" i="4"/>
  <c r="AE81" i="4"/>
  <c r="AF81" i="4"/>
  <c r="AE82" i="4"/>
  <c r="AF82" i="4"/>
  <c r="AE83" i="4"/>
  <c r="AF83" i="4"/>
  <c r="AE84" i="4"/>
  <c r="AF84" i="4"/>
  <c r="AE85" i="4"/>
  <c r="AF85" i="4"/>
  <c r="AE86" i="4"/>
  <c r="AF86" i="4"/>
  <c r="AE87" i="4"/>
  <c r="AF87" i="4"/>
  <c r="AE88" i="4"/>
  <c r="AF88" i="4"/>
  <c r="AE89" i="4"/>
  <c r="AF89" i="4"/>
  <c r="AE90" i="4"/>
  <c r="AF90" i="4"/>
  <c r="AE91" i="4"/>
  <c r="AF91" i="4"/>
  <c r="AE92" i="4"/>
  <c r="AF92" i="4"/>
  <c r="AE93" i="4"/>
  <c r="AF93" i="4"/>
  <c r="AE94" i="4"/>
  <c r="AF94" i="4"/>
  <c r="AE95" i="4"/>
  <c r="AF95" i="4"/>
  <c r="AE96" i="4"/>
  <c r="AF96" i="4"/>
  <c r="AE97" i="4"/>
  <c r="AF97" i="4"/>
  <c r="AE98" i="4"/>
  <c r="AF98" i="4"/>
  <c r="AE99" i="4"/>
  <c r="AF99" i="4"/>
  <c r="AE100" i="4"/>
  <c r="AF100" i="4"/>
  <c r="AE101" i="4"/>
  <c r="AF101" i="4"/>
  <c r="AE102" i="4"/>
  <c r="AF102" i="4"/>
  <c r="AE103" i="4"/>
  <c r="AF103" i="4"/>
  <c r="AE104" i="4"/>
  <c r="AF104" i="4"/>
  <c r="AE105" i="4"/>
  <c r="AF105" i="4"/>
  <c r="AE106" i="4"/>
  <c r="AF106" i="4"/>
  <c r="AE107" i="4"/>
  <c r="AF107" i="4"/>
  <c r="AE108" i="4"/>
  <c r="AF108" i="4"/>
  <c r="AE109" i="4"/>
  <c r="AF109" i="4"/>
  <c r="AE110" i="4"/>
  <c r="AF110" i="4"/>
  <c r="AE111" i="4"/>
  <c r="AF111" i="4"/>
  <c r="AE112" i="4"/>
  <c r="AF112" i="4"/>
  <c r="AF13" i="4"/>
  <c r="I14" i="4"/>
  <c r="J14" i="4" s="1"/>
  <c r="I15" i="4"/>
  <c r="J15" i="4" s="1"/>
  <c r="I16" i="4"/>
  <c r="J16" i="4" s="1"/>
  <c r="I17" i="4"/>
  <c r="J17" i="4" s="1"/>
  <c r="I18" i="4"/>
  <c r="J18" i="4" s="1"/>
  <c r="I19" i="4"/>
  <c r="J19" i="4" s="1"/>
  <c r="I20" i="4"/>
  <c r="J20" i="4" s="1"/>
  <c r="I21" i="4"/>
  <c r="J21" i="4" s="1"/>
  <c r="I22" i="4"/>
  <c r="J22" i="4" s="1"/>
  <c r="I23" i="4"/>
  <c r="J23" i="4" s="1"/>
  <c r="I24" i="4"/>
  <c r="J24" i="4" s="1"/>
  <c r="I25" i="4"/>
  <c r="J25" i="4" s="1"/>
  <c r="I26" i="4"/>
  <c r="J26" i="4" s="1"/>
  <c r="I27" i="4"/>
  <c r="J27" i="4" s="1"/>
  <c r="I28" i="4"/>
  <c r="J28" i="4" s="1"/>
  <c r="I29" i="4"/>
  <c r="J29" i="4" s="1"/>
  <c r="I30" i="4"/>
  <c r="J30" i="4" s="1"/>
  <c r="I31" i="4"/>
  <c r="J31" i="4" s="1"/>
  <c r="I32" i="4"/>
  <c r="J32" i="4" s="1"/>
  <c r="I33" i="4"/>
  <c r="J33" i="4" s="1"/>
  <c r="I34" i="4"/>
  <c r="J34" i="4" s="1"/>
  <c r="I35" i="4"/>
  <c r="J35" i="4" s="1"/>
  <c r="I36" i="4"/>
  <c r="J36" i="4" s="1"/>
  <c r="I37" i="4"/>
  <c r="J37" i="4" s="1"/>
  <c r="I38" i="4"/>
  <c r="J38" i="4" s="1"/>
  <c r="I39" i="4"/>
  <c r="J39" i="4" s="1"/>
  <c r="I40" i="4"/>
  <c r="J40" i="4" s="1"/>
  <c r="I41" i="4"/>
  <c r="J41" i="4" s="1"/>
  <c r="I42" i="4"/>
  <c r="J42" i="4" s="1"/>
  <c r="I43" i="4"/>
  <c r="J43" i="4" s="1"/>
  <c r="I44" i="4"/>
  <c r="J44" i="4" s="1"/>
  <c r="I45" i="4"/>
  <c r="J45" i="4" s="1"/>
  <c r="I46" i="4"/>
  <c r="J46" i="4" s="1"/>
  <c r="I47" i="4"/>
  <c r="J47" i="4" s="1"/>
  <c r="I48" i="4"/>
  <c r="J48" i="4" s="1"/>
  <c r="I49" i="4"/>
  <c r="J49" i="4" s="1"/>
  <c r="I50" i="4"/>
  <c r="J50" i="4" s="1"/>
  <c r="I51" i="4"/>
  <c r="J51" i="4" s="1"/>
  <c r="I52" i="4"/>
  <c r="J52" i="4" s="1"/>
  <c r="I53" i="4"/>
  <c r="J53" i="4" s="1"/>
  <c r="I54" i="4"/>
  <c r="J54" i="4" s="1"/>
  <c r="I55" i="4"/>
  <c r="J55" i="4" s="1"/>
  <c r="I56" i="4"/>
  <c r="J56" i="4" s="1"/>
  <c r="I57" i="4"/>
  <c r="J57" i="4" s="1"/>
  <c r="I58" i="4"/>
  <c r="J58" i="4" s="1"/>
  <c r="I59" i="4"/>
  <c r="J59" i="4" s="1"/>
  <c r="I60" i="4"/>
  <c r="J60" i="4" s="1"/>
  <c r="I61" i="4"/>
  <c r="J61" i="4" s="1"/>
  <c r="I62" i="4"/>
  <c r="J62" i="4" s="1"/>
  <c r="I63" i="4"/>
  <c r="J63" i="4" s="1"/>
  <c r="I64" i="4"/>
  <c r="J64" i="4" s="1"/>
  <c r="I65" i="4"/>
  <c r="J65" i="4" s="1"/>
  <c r="I66" i="4"/>
  <c r="J66" i="4" s="1"/>
  <c r="I67" i="4"/>
  <c r="J67" i="4" s="1"/>
  <c r="I68" i="4"/>
  <c r="J68" i="4" s="1"/>
  <c r="I69" i="4"/>
  <c r="J69" i="4" s="1"/>
  <c r="I70" i="4"/>
  <c r="J70" i="4" s="1"/>
  <c r="I71" i="4"/>
  <c r="J71" i="4" s="1"/>
  <c r="I72" i="4"/>
  <c r="J72" i="4" s="1"/>
  <c r="I73" i="4"/>
  <c r="J73" i="4" s="1"/>
  <c r="I74" i="4"/>
  <c r="J74" i="4" s="1"/>
  <c r="I75" i="4"/>
  <c r="J75" i="4" s="1"/>
  <c r="I76" i="4"/>
  <c r="J76" i="4" s="1"/>
  <c r="I77" i="4"/>
  <c r="J77" i="4" s="1"/>
  <c r="I78" i="4"/>
  <c r="J78" i="4" s="1"/>
  <c r="I79" i="4"/>
  <c r="J79" i="4" s="1"/>
  <c r="I80" i="4"/>
  <c r="J80" i="4" s="1"/>
  <c r="I81" i="4"/>
  <c r="J81" i="4" s="1"/>
  <c r="I82" i="4"/>
  <c r="J82" i="4" s="1"/>
  <c r="I83" i="4"/>
  <c r="J83" i="4" s="1"/>
  <c r="I84" i="4"/>
  <c r="J84" i="4" s="1"/>
  <c r="I85" i="4"/>
  <c r="J85" i="4" s="1"/>
  <c r="I86" i="4"/>
  <c r="J86" i="4" s="1"/>
  <c r="I87" i="4"/>
  <c r="J87" i="4" s="1"/>
  <c r="I88" i="4"/>
  <c r="J88" i="4" s="1"/>
  <c r="I89" i="4"/>
  <c r="J89" i="4" s="1"/>
  <c r="I90" i="4"/>
  <c r="J90" i="4" s="1"/>
  <c r="I91" i="4"/>
  <c r="J91" i="4" s="1"/>
  <c r="I92" i="4"/>
  <c r="J92" i="4" s="1"/>
  <c r="I93" i="4"/>
  <c r="J93" i="4" s="1"/>
  <c r="I94" i="4"/>
  <c r="J94" i="4" s="1"/>
  <c r="I95" i="4"/>
  <c r="J95" i="4" s="1"/>
  <c r="I96" i="4"/>
  <c r="J96" i="4" s="1"/>
  <c r="I97" i="4"/>
  <c r="J97" i="4" s="1"/>
  <c r="I98" i="4"/>
  <c r="J98" i="4" s="1"/>
  <c r="I99" i="4"/>
  <c r="J99" i="4" s="1"/>
  <c r="I100" i="4"/>
  <c r="J100" i="4" s="1"/>
  <c r="I101" i="4"/>
  <c r="J101" i="4" s="1"/>
  <c r="I102" i="4"/>
  <c r="J102" i="4" s="1"/>
  <c r="I103" i="4"/>
  <c r="J103" i="4" s="1"/>
  <c r="I104" i="4"/>
  <c r="J104" i="4" s="1"/>
  <c r="I105" i="4"/>
  <c r="J105" i="4" s="1"/>
  <c r="I106" i="4"/>
  <c r="J106" i="4" s="1"/>
  <c r="I107" i="4"/>
  <c r="J107" i="4" s="1"/>
  <c r="I108" i="4"/>
  <c r="J108" i="4" s="1"/>
  <c r="I109" i="4"/>
  <c r="J109" i="4" s="1"/>
  <c r="I110" i="4"/>
  <c r="J110" i="4" s="1"/>
  <c r="I111" i="4"/>
  <c r="J111" i="4" s="1"/>
  <c r="I112" i="4"/>
  <c r="J112" i="4" s="1"/>
  <c r="I13" i="4"/>
  <c r="J68" i="5" l="1"/>
  <c r="Y19" i="5"/>
  <c r="Y18" i="5"/>
  <c r="X19" i="5"/>
  <c r="X18" i="5"/>
  <c r="AR126" i="4"/>
  <c r="J66" i="5"/>
  <c r="J65" i="5"/>
  <c r="J64" i="5"/>
  <c r="J63" i="5"/>
  <c r="J62" i="5"/>
  <c r="J61" i="5"/>
  <c r="J70" i="5"/>
  <c r="J69" i="5"/>
  <c r="J31" i="5"/>
  <c r="AC31" i="5"/>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9" i="4"/>
  <c r="K100" i="4"/>
  <c r="K101" i="4"/>
  <c r="K102" i="4"/>
  <c r="K103" i="4"/>
  <c r="K104" i="4"/>
  <c r="K105" i="4"/>
  <c r="K106" i="4"/>
  <c r="K107" i="4"/>
  <c r="K108" i="4"/>
  <c r="K109" i="4"/>
  <c r="K110" i="4"/>
  <c r="K111" i="4"/>
  <c r="K112" i="4"/>
  <c r="J13" i="4"/>
  <c r="W35" i="21"/>
  <c r="AB35" i="21" s="1"/>
  <c r="AG35" i="21" s="1"/>
  <c r="AX8" i="1" s="1"/>
  <c r="D14" i="1"/>
  <c r="D15" i="1"/>
  <c r="D16" i="1"/>
  <c r="D13" i="1"/>
  <c r="D9" i="1"/>
  <c r="D10" i="1"/>
  <c r="F10" i="1" s="1"/>
  <c r="D11" i="1"/>
  <c r="AG50" i="21"/>
  <c r="AX16" i="1" s="1"/>
  <c r="AG38" i="21"/>
  <c r="AX11" i="1" s="1"/>
  <c r="AG19" i="21"/>
  <c r="AG20" i="21"/>
  <c r="AG21" i="21"/>
  <c r="BG48" i="21"/>
  <c r="AT14" i="1" s="1"/>
  <c r="AV14" i="1" s="1"/>
  <c r="BH48" i="21"/>
  <c r="BG49" i="21"/>
  <c r="AT15" i="1" s="1"/>
  <c r="AV15" i="1" s="1"/>
  <c r="BH49" i="21"/>
  <c r="BG50" i="21"/>
  <c r="AT16" i="1" s="1"/>
  <c r="AW16" i="1" s="1"/>
  <c r="BH50" i="21"/>
  <c r="BH47" i="21"/>
  <c r="BG47" i="21"/>
  <c r="AT13" i="1" s="1"/>
  <c r="AV13" i="1" s="1"/>
  <c r="BH18" i="21"/>
  <c r="BH19" i="21"/>
  <c r="BH20" i="21"/>
  <c r="BH21" i="21"/>
  <c r="BH17" i="21"/>
  <c r="BH14" i="21"/>
  <c r="BH13" i="21"/>
  <c r="BH36" i="21"/>
  <c r="BH37" i="21"/>
  <c r="BH38" i="21"/>
  <c r="BH35" i="21"/>
  <c r="BG36" i="21"/>
  <c r="AT9" i="1" s="1"/>
  <c r="AV9" i="1" s="1"/>
  <c r="BG37" i="21"/>
  <c r="AT10" i="1" s="1"/>
  <c r="AW10" i="1" s="1"/>
  <c r="BG38" i="21"/>
  <c r="AT11" i="1" s="1"/>
  <c r="AU11" i="1" s="1"/>
  <c r="BG35" i="21"/>
  <c r="AT8" i="1" s="1"/>
  <c r="BG18" i="21"/>
  <c r="BG19" i="21"/>
  <c r="BG20" i="21"/>
  <c r="BG21" i="21"/>
  <c r="BG17" i="21"/>
  <c r="BG13" i="21"/>
  <c r="BG14" i="21"/>
  <c r="AG47" i="21"/>
  <c r="AX13" i="1" s="1"/>
  <c r="P51" i="21"/>
  <c r="AE4" i="21" s="1"/>
  <c r="AB50" i="21"/>
  <c r="AB48" i="21"/>
  <c r="AG48" i="21" s="1"/>
  <c r="AX14" i="1" s="1"/>
  <c r="P39" i="21"/>
  <c r="AE3" i="21" s="1"/>
  <c r="W38" i="21"/>
  <c r="W37" i="21"/>
  <c r="AB37" i="21" s="1"/>
  <c r="W36" i="21"/>
  <c r="AV8" i="1" l="1"/>
  <c r="AW8" i="1"/>
  <c r="AU8" i="1"/>
  <c r="AU15" i="1"/>
  <c r="AW15" i="1"/>
  <c r="AW11" i="1"/>
  <c r="AU16" i="1"/>
  <c r="AV16" i="1"/>
  <c r="AV10" i="1"/>
  <c r="AW9" i="1"/>
  <c r="AU9" i="1"/>
  <c r="AU10" i="1"/>
  <c r="AV11" i="1"/>
  <c r="AW13" i="1"/>
  <c r="AW14" i="1"/>
  <c r="AH80" i="5"/>
  <c r="AU14" i="1"/>
  <c r="AU13" i="1"/>
  <c r="BH22" i="21"/>
  <c r="BH3" i="21" s="1"/>
  <c r="BG22" i="21"/>
  <c r="C7" i="1" s="1"/>
  <c r="D7" i="1" s="1"/>
  <c r="BH51" i="21"/>
  <c r="BH5" i="21" s="1"/>
  <c r="BG51" i="21"/>
  <c r="AG51" i="21"/>
  <c r="BG39" i="21"/>
  <c r="BH39" i="21"/>
  <c r="BH4" i="21" s="1"/>
  <c r="AB38" i="21"/>
  <c r="AB36" i="21"/>
  <c r="AG36" i="21" s="1"/>
  <c r="AB49" i="21"/>
  <c r="AG49" i="21" s="1"/>
  <c r="AX15" i="1" s="1"/>
  <c r="AG37" i="21"/>
  <c r="AX10" i="1" s="1"/>
  <c r="AG25" i="21"/>
  <c r="AB21" i="21"/>
  <c r="AB18" i="21"/>
  <c r="AB19" i="21"/>
  <c r="AB20" i="21"/>
  <c r="AB17" i="21"/>
  <c r="AG17" i="21" s="1"/>
  <c r="D5" i="2"/>
  <c r="F5" i="2"/>
  <c r="H4" i="2"/>
  <c r="B1" i="2"/>
  <c r="B2" i="2"/>
  <c r="B1" i="1"/>
  <c r="B2" i="1"/>
  <c r="K4" i="1"/>
  <c r="G4" i="1"/>
  <c r="B1" i="15"/>
  <c r="B2" i="15"/>
  <c r="G30" i="17"/>
  <c r="H29" i="17"/>
  <c r="I29" i="17"/>
  <c r="J29" i="17"/>
  <c r="K29" i="17"/>
  <c r="L29" i="17"/>
  <c r="M29" i="17"/>
  <c r="G29" i="17"/>
  <c r="G28" i="17"/>
  <c r="P23" i="12"/>
  <c r="AE24" i="12"/>
  <c r="O23" i="12"/>
  <c r="AE23" i="12" s="1"/>
  <c r="P22" i="12"/>
  <c r="G26" i="17"/>
  <c r="G25" i="17"/>
  <c r="H24" i="17"/>
  <c r="I24" i="17"/>
  <c r="G24" i="17"/>
  <c r="H23" i="17"/>
  <c r="I23" i="17"/>
  <c r="J23" i="17"/>
  <c r="G23" i="17"/>
  <c r="P25" i="12"/>
  <c r="P21" i="12"/>
  <c r="P20" i="12"/>
  <c r="P19" i="12"/>
  <c r="O25" i="12"/>
  <c r="AE25" i="12" s="1"/>
  <c r="O22" i="12"/>
  <c r="AE22" i="12" s="1"/>
  <c r="O21" i="12"/>
  <c r="O20" i="12"/>
  <c r="AE20" i="12" s="1"/>
  <c r="O19" i="12"/>
  <c r="AT7" i="1" l="1"/>
  <c r="AV7" i="1" s="1"/>
  <c r="G7" i="1"/>
  <c r="H7" i="1"/>
  <c r="AE18" i="12"/>
  <c r="AG39" i="21"/>
  <c r="AX9" i="1"/>
  <c r="BG4" i="21"/>
  <c r="G9" i="1"/>
  <c r="G11" i="1"/>
  <c r="C9" i="1"/>
  <c r="C11" i="1"/>
  <c r="H9" i="1"/>
  <c r="H10" i="1"/>
  <c r="H11" i="1"/>
  <c r="I8" i="1"/>
  <c r="G10" i="1"/>
  <c r="G8" i="1"/>
  <c r="C10" i="1"/>
  <c r="C8" i="1"/>
  <c r="I9" i="1"/>
  <c r="I10" i="1"/>
  <c r="I11" i="1"/>
  <c r="H8" i="1"/>
  <c r="J8" i="1" s="1"/>
  <c r="D8" i="1"/>
  <c r="E8" i="1" s="1"/>
  <c r="I14" i="1"/>
  <c r="I16" i="1"/>
  <c r="H14" i="1"/>
  <c r="J14" i="1" s="1"/>
  <c r="H16" i="1"/>
  <c r="J16" i="1" s="1"/>
  <c r="G14" i="1"/>
  <c r="G16" i="1"/>
  <c r="C15" i="1"/>
  <c r="G13" i="1"/>
  <c r="I15" i="1"/>
  <c r="I13" i="1"/>
  <c r="H15" i="1"/>
  <c r="H13" i="1"/>
  <c r="G15" i="1"/>
  <c r="C14" i="1"/>
  <c r="C16" i="1"/>
  <c r="C13" i="1"/>
  <c r="BG3" i="21"/>
  <c r="BG5" i="21"/>
  <c r="AG18" i="21"/>
  <c r="AG22" i="21" s="1"/>
  <c r="AG26" i="21" s="1"/>
  <c r="AX7" i="1" s="1"/>
  <c r="AG4" i="21"/>
  <c r="H13" i="2" s="1"/>
  <c r="B43" i="3"/>
  <c r="B35" i="3"/>
  <c r="C31" i="3"/>
  <c r="C30" i="3"/>
  <c r="B29" i="3"/>
  <c r="B28" i="3"/>
  <c r="B27" i="3"/>
  <c r="B26" i="3"/>
  <c r="B24" i="3"/>
  <c r="B23" i="3"/>
  <c r="C22" i="3"/>
  <c r="C21" i="3"/>
  <c r="C20" i="3"/>
  <c r="B19" i="3"/>
  <c r="A14" i="3"/>
  <c r="B12" i="3"/>
  <c r="B3" i="3"/>
  <c r="AE21" i="12"/>
  <c r="AE19" i="12"/>
  <c r="AW7" i="1" l="1"/>
  <c r="AU7" i="1"/>
  <c r="I7" i="1"/>
  <c r="J7" i="1" s="1"/>
  <c r="BF3" i="21"/>
  <c r="O40" i="12" s="1"/>
  <c r="AE40" i="12" s="1"/>
  <c r="J11" i="1"/>
  <c r="AG2" i="21"/>
  <c r="H7" i="2"/>
  <c r="AG3" i="21"/>
  <c r="H9" i="2"/>
  <c r="J13" i="1"/>
  <c r="J15" i="1"/>
  <c r="J9" i="1"/>
  <c r="J10" i="1"/>
  <c r="P40" i="12" l="1"/>
  <c r="C13" i="2"/>
  <c r="C9" i="2"/>
  <c r="F9" i="20" l="1"/>
  <c r="F8" i="20" l="1"/>
  <c r="F6" i="20"/>
  <c r="D17" i="2"/>
  <c r="M33" i="20"/>
  <c r="L33" i="20" l="1"/>
  <c r="O36" i="12" s="1"/>
  <c r="P36" i="12" s="1"/>
  <c r="I36" i="12" l="1"/>
  <c r="N5" i="3"/>
  <c r="E36" i="15" s="1"/>
  <c r="P14" i="12"/>
  <c r="AK13" i="12" l="1"/>
  <c r="AL14" i="12" l="1"/>
  <c r="AK12" i="12"/>
  <c r="AK11" i="12"/>
  <c r="AK14" i="12"/>
  <c r="AL13" i="12"/>
  <c r="J16" i="2" l="1"/>
  <c r="I16" i="2"/>
  <c r="H16" i="2"/>
  <c r="G16" i="2"/>
  <c r="F16" i="2"/>
  <c r="E16" i="2"/>
  <c r="D16" i="2"/>
  <c r="C16" i="2"/>
  <c r="J14" i="2"/>
  <c r="I14" i="2"/>
  <c r="H14" i="2"/>
  <c r="G14" i="2"/>
  <c r="F14" i="2"/>
  <c r="E14" i="2"/>
  <c r="D14" i="2"/>
  <c r="C14" i="2"/>
  <c r="J12" i="2"/>
  <c r="I12" i="2"/>
  <c r="H12" i="2"/>
  <c r="G12" i="2"/>
  <c r="F12" i="2"/>
  <c r="E12" i="2"/>
  <c r="D12" i="2"/>
  <c r="C12" i="2"/>
  <c r="J10" i="2"/>
  <c r="I10" i="2"/>
  <c r="H10" i="2"/>
  <c r="G10" i="2"/>
  <c r="F10" i="2"/>
  <c r="E10" i="2"/>
  <c r="D10" i="2"/>
  <c r="C10" i="2"/>
  <c r="J8" i="2"/>
  <c r="J18" i="2" s="1"/>
  <c r="H21" i="3" s="1"/>
  <c r="I8" i="2"/>
  <c r="I18" i="2" s="1"/>
  <c r="H8" i="2"/>
  <c r="H18" i="2" s="1"/>
  <c r="G8" i="2"/>
  <c r="G18" i="2" s="1"/>
  <c r="F8" i="2"/>
  <c r="F18" i="2" s="1"/>
  <c r="E8" i="2"/>
  <c r="E18" i="2" s="1"/>
  <c r="D8" i="2"/>
  <c r="D18" i="2" s="1"/>
  <c r="C8" i="2"/>
  <c r="C18" i="2" s="1"/>
  <c r="F10" i="20" l="1"/>
  <c r="D23" i="20"/>
  <c r="D22" i="20"/>
  <c r="W28" i="5" l="1"/>
  <c r="W7" i="5"/>
  <c r="J60" i="5" l="1"/>
  <c r="J58" i="5"/>
  <c r="J56" i="5"/>
  <c r="J54" i="5"/>
  <c r="J52" i="5"/>
  <c r="J59" i="5"/>
  <c r="J57" i="5"/>
  <c r="J55" i="5"/>
  <c r="J53" i="5"/>
  <c r="J51" i="5"/>
  <c r="AH81" i="5" l="1"/>
  <c r="AD8" i="15" l="1"/>
  <c r="AD6" i="15"/>
  <c r="AC8" i="15"/>
  <c r="AC6" i="15"/>
  <c r="AB8" i="15"/>
  <c r="AB6" i="15"/>
  <c r="AA8" i="15"/>
  <c r="AA6" i="15"/>
  <c r="Z8" i="15"/>
  <c r="Z6" i="15"/>
  <c r="Y6" i="15"/>
  <c r="Y8" i="15"/>
  <c r="O26" i="12"/>
  <c r="AE26" i="12" s="1"/>
  <c r="B36" i="3" l="1"/>
  <c r="AF6" i="15"/>
  <c r="AF13" i="15"/>
  <c r="AM5" i="12" l="1"/>
  <c r="AE38" i="12"/>
  <c r="AM4" i="12" l="1"/>
  <c r="AM3" i="12"/>
  <c r="AM118" i="4"/>
  <c r="AE13" i="12"/>
  <c r="O6" i="12"/>
  <c r="AE6" i="12" s="1"/>
  <c r="P15" i="12"/>
  <c r="P11" i="12"/>
  <c r="AF28" i="12"/>
  <c r="O11" i="12"/>
  <c r="AE11" i="12" s="1"/>
  <c r="C36" i="15" l="1"/>
  <c r="O3" i="12"/>
  <c r="AE3" i="12" s="1"/>
  <c r="P3" i="12"/>
  <c r="O7" i="12"/>
  <c r="AE7" i="12" s="1"/>
  <c r="O8" i="12"/>
  <c r="O9" i="12"/>
  <c r="O14" i="12"/>
  <c r="O15" i="12"/>
  <c r="O17" i="12"/>
  <c r="Z11" i="15" l="1"/>
  <c r="P43" i="12" s="1"/>
  <c r="AE15" i="12"/>
  <c r="L44" i="3"/>
  <c r="AE17" i="12"/>
  <c r="L46" i="3"/>
  <c r="AE14" i="12"/>
  <c r="L43" i="3"/>
  <c r="Y11" i="15"/>
  <c r="O43" i="12" s="1"/>
  <c r="L9" i="3"/>
  <c r="AE10" i="12"/>
  <c r="P10" i="12"/>
  <c r="P7" i="12"/>
  <c r="P9" i="12"/>
  <c r="AE9" i="12"/>
  <c r="O10" i="12"/>
  <c r="AE16" i="12"/>
  <c r="P8" i="12"/>
  <c r="AE8" i="12"/>
  <c r="P6" i="12"/>
  <c r="Z3" i="5"/>
  <c r="Z4" i="5"/>
  <c r="Z2" i="5"/>
  <c r="Y10" i="5" l="1"/>
  <c r="X10" i="5"/>
  <c r="Y9" i="5"/>
  <c r="X9" i="5"/>
  <c r="AE43" i="12"/>
  <c r="K13" i="4"/>
  <c r="AE36" i="12" l="1"/>
  <c r="AH79" i="5"/>
  <c r="AJ79" i="5" s="1"/>
  <c r="P42" i="12" s="1"/>
  <c r="N11" i="17"/>
  <c r="N9" i="17"/>
  <c r="N7" i="17"/>
  <c r="AI79" i="5" l="1"/>
  <c r="E2" i="5" l="1"/>
  <c r="I17" i="1" s="1"/>
  <c r="E17" i="1" s="1"/>
  <c r="AT17" i="1"/>
  <c r="AV17" i="1" s="1"/>
  <c r="S7" i="17"/>
  <c r="E38" i="15"/>
  <c r="E13" i="1"/>
  <c r="E7" i="1"/>
  <c r="C7" i="2" l="1"/>
  <c r="F9" i="1"/>
  <c r="O42" i="12" l="1"/>
  <c r="AE42" i="12" s="1"/>
  <c r="AW17" i="1" l="1"/>
  <c r="AU17" i="1"/>
  <c r="J42" i="5"/>
  <c r="J50" i="5"/>
  <c r="J34" i="5"/>
  <c r="J33" i="5"/>
  <c r="J32" i="5"/>
  <c r="J35" i="5"/>
  <c r="J36" i="5"/>
  <c r="J37" i="5"/>
  <c r="J38" i="5"/>
  <c r="J39" i="5"/>
  <c r="J40" i="5"/>
  <c r="J41" i="5"/>
  <c r="J43" i="5"/>
  <c r="J44" i="5"/>
  <c r="J45" i="5"/>
  <c r="J46" i="5"/>
  <c r="J47" i="5"/>
  <c r="J48" i="5"/>
  <c r="J49" i="5"/>
  <c r="C8" i="4"/>
  <c r="AS128" i="4" l="1"/>
  <c r="AS125" i="4"/>
  <c r="AS126" i="4"/>
  <c r="AS127" i="4"/>
  <c r="AS123" i="4"/>
  <c r="AS124" i="4"/>
  <c r="AB45" i="4"/>
  <c r="C17" i="1"/>
  <c r="I7" i="2"/>
  <c r="J7" i="2" s="1"/>
  <c r="M8" i="2" s="1"/>
  <c r="I3" i="2"/>
  <c r="C18" i="3" l="1"/>
  <c r="C17" i="3"/>
  <c r="E40" i="15" l="1"/>
  <c r="L10" i="3"/>
  <c r="S11" i="17" s="1"/>
  <c r="E16" i="1"/>
  <c r="E14" i="1"/>
  <c r="E11" i="1"/>
  <c r="F8" i="1"/>
  <c r="G17" i="1"/>
  <c r="F13" i="1" l="1"/>
  <c r="F7" i="1"/>
  <c r="G7" i="2" s="1"/>
  <c r="F11" i="1"/>
  <c r="G9" i="2" s="1"/>
  <c r="E15" i="1"/>
  <c r="F15" i="1" s="1"/>
  <c r="F16" i="1"/>
  <c r="F14" i="1"/>
  <c r="W17" i="17"/>
  <c r="W15" i="17"/>
  <c r="W13" i="17"/>
  <c r="N4" i="3"/>
  <c r="L8" i="3"/>
  <c r="S9" i="17" s="1"/>
  <c r="G13" i="2" l="1"/>
  <c r="H17" i="1"/>
  <c r="D17" i="1" l="1"/>
  <c r="J17" i="1"/>
  <c r="H15" i="2" l="1"/>
  <c r="C15" i="2"/>
  <c r="AX17" i="1"/>
  <c r="F17" i="1"/>
  <c r="G15" i="2" s="1"/>
  <c r="E7" i="2" l="1"/>
  <c r="E9" i="2"/>
  <c r="F9" i="2" s="1"/>
  <c r="E13" i="2"/>
  <c r="F13" i="2" s="1"/>
  <c r="F7" i="2" l="1"/>
  <c r="I13" i="2"/>
  <c r="J13" i="2" s="1"/>
  <c r="M14" i="2" s="1"/>
  <c r="I9" i="2"/>
  <c r="J9" i="2" s="1"/>
  <c r="M10" i="2" s="1"/>
  <c r="I15" i="2"/>
  <c r="J15" i="2" s="1"/>
  <c r="M16" i="2" s="1"/>
  <c r="E15" i="2"/>
  <c r="F15" i="2" s="1"/>
  <c r="K98" i="4" l="1"/>
  <c r="AM119" i="4"/>
  <c r="AO118" i="4" l="1"/>
  <c r="P41" i="12" s="1"/>
  <c r="AN118" i="4"/>
  <c r="AT12" i="1" s="1"/>
  <c r="AV12" i="1" l="1"/>
  <c r="AW12" i="1"/>
  <c r="AU12" i="1"/>
  <c r="O41" i="12"/>
  <c r="AE41" i="12" s="1"/>
  <c r="D12" i="1"/>
  <c r="F12" i="1" s="1"/>
  <c r="I2" i="4"/>
  <c r="I12" i="1" l="1"/>
  <c r="C12" i="1" s="1"/>
  <c r="G12" i="1" s="1"/>
  <c r="G11" i="2"/>
  <c r="G17" i="2" s="1"/>
  <c r="AU2" i="1"/>
  <c r="AV2" i="1"/>
  <c r="AU19" i="1"/>
  <c r="H12" i="1" l="1"/>
  <c r="J12" i="1" s="1"/>
  <c r="J18" i="1" s="1"/>
  <c r="P12" i="12"/>
  <c r="O12" i="12"/>
  <c r="AF12" i="12" s="1"/>
  <c r="AN52" i="3" s="1"/>
  <c r="O39" i="12"/>
  <c r="P39" i="12" s="1"/>
  <c r="AQ1" i="1"/>
  <c r="S3" i="1"/>
  <c r="AX12" i="1" l="1"/>
  <c r="C11" i="2"/>
  <c r="F28" i="12"/>
  <c r="AE12" i="12"/>
  <c r="AE39" i="12"/>
  <c r="C17" i="2"/>
  <c r="E11" i="2"/>
  <c r="G28" i="12" l="1"/>
  <c r="P35" i="12" s="1"/>
  <c r="O35" i="12"/>
  <c r="E17" i="2"/>
  <c r="F11" i="2"/>
  <c r="O37" i="12" l="1"/>
  <c r="P37" i="12" s="1"/>
  <c r="AE35" i="12"/>
  <c r="F17" i="2"/>
  <c r="H11" i="2"/>
  <c r="F32" i="12" l="1"/>
  <c r="H17" i="2"/>
  <c r="I11" i="2"/>
  <c r="M20" i="3" l="1"/>
  <c r="G32" i="12"/>
  <c r="J11" i="2"/>
  <c r="M12" i="2" s="1"/>
  <c r="N17" i="2" s="1"/>
  <c r="M18" i="2" s="1"/>
  <c r="I17" i="2"/>
  <c r="H20" i="3" l="1"/>
  <c r="J17" i="2"/>
  <c r="H22" i="3" l="1"/>
  <c r="A20" i="17"/>
  <c r="A19" i="20" l="1"/>
</calcChain>
</file>

<file path=xl/sharedStrings.xml><?xml version="1.0" encoding="utf-8"?>
<sst xmlns="http://schemas.openxmlformats.org/spreadsheetml/2006/main" count="3265" uniqueCount="981">
  <si>
    <t>員数</t>
    <phoneticPr fontId="1"/>
  </si>
  <si>
    <t>数量</t>
    <phoneticPr fontId="1"/>
  </si>
  <si>
    <t>個人防護具</t>
    <phoneticPr fontId="1"/>
  </si>
  <si>
    <t>簡易ベッド</t>
    <phoneticPr fontId="1"/>
  </si>
  <si>
    <t>簡易診療室</t>
    <phoneticPr fontId="1"/>
  </si>
  <si>
    <t>円</t>
    <rPh sb="0" eb="1">
      <t>エン</t>
    </rPh>
    <phoneticPr fontId="1"/>
  </si>
  <si>
    <t>県補助額
(G)×10/10
(H)</t>
    <phoneticPr fontId="1"/>
  </si>
  <si>
    <t>差引事業費
(A)―(B)
（C）</t>
    <phoneticPr fontId="1"/>
  </si>
  <si>
    <t>合計</t>
    <rPh sb="0" eb="2">
      <t>ゴウケイ</t>
    </rPh>
    <phoneticPr fontId="1"/>
  </si>
  <si>
    <t>注１「県補助額」(H)には、１，０００円未満を切り捨てた額を記入すること。</t>
    <phoneticPr fontId="1"/>
  </si>
  <si>
    <t>個人防護具</t>
    <rPh sb="0" eb="2">
      <t>コジン</t>
    </rPh>
    <rPh sb="2" eb="4">
      <t>ボウゴ</t>
    </rPh>
    <rPh sb="4" eb="5">
      <t>グ</t>
    </rPh>
    <phoneticPr fontId="1"/>
  </si>
  <si>
    <t>補助事業者名</t>
    <rPh sb="0" eb="2">
      <t>ホジョ</t>
    </rPh>
    <rPh sb="2" eb="4">
      <t>ジギョウ</t>
    </rPh>
    <rPh sb="4" eb="5">
      <t>シャ</t>
    </rPh>
    <rPh sb="5" eb="6">
      <t>メイ</t>
    </rPh>
    <phoneticPr fontId="1"/>
  </si>
  <si>
    <t>代表者氏名</t>
    <rPh sb="0" eb="3">
      <t>ダイヒョウシャ</t>
    </rPh>
    <rPh sb="3" eb="5">
      <t>シメイ</t>
    </rPh>
    <phoneticPr fontId="1"/>
  </si>
  <si>
    <t>　愛　知　県　知　事　殿</t>
    <phoneticPr fontId="1"/>
  </si>
  <si>
    <t>事業者名</t>
    <rPh sb="0" eb="3">
      <t>ジギョウシャ</t>
    </rPh>
    <rPh sb="3" eb="4">
      <t>メイ</t>
    </rPh>
    <phoneticPr fontId="1"/>
  </si>
  <si>
    <t>代表者役職</t>
    <rPh sb="0" eb="3">
      <t>ダイヒョウシャ</t>
    </rPh>
    <rPh sb="3" eb="5">
      <t>ヤクショク</t>
    </rPh>
    <phoneticPr fontId="1"/>
  </si>
  <si>
    <t>記</t>
    <rPh sb="0" eb="1">
      <t>キ</t>
    </rPh>
    <phoneticPr fontId="1"/>
  </si>
  <si>
    <t>提出日</t>
    <rPh sb="0" eb="2">
      <t>テイシュツ</t>
    </rPh>
    <rPh sb="2" eb="3">
      <t>ビ</t>
    </rPh>
    <phoneticPr fontId="1"/>
  </si>
  <si>
    <t>文書番号</t>
    <rPh sb="0" eb="2">
      <t>ブンショ</t>
    </rPh>
    <rPh sb="2" eb="4">
      <t>バンゴウ</t>
    </rPh>
    <phoneticPr fontId="1"/>
  </si>
  <si>
    <t>担当部署</t>
    <rPh sb="0" eb="2">
      <t>タントウ</t>
    </rPh>
    <rPh sb="2" eb="4">
      <t>ブショ</t>
    </rPh>
    <phoneticPr fontId="1"/>
  </si>
  <si>
    <t>担当者名</t>
    <rPh sb="0" eb="2">
      <t>タントウ</t>
    </rPh>
    <rPh sb="2" eb="3">
      <t>シャ</t>
    </rPh>
    <rPh sb="3" eb="4">
      <t>メイ</t>
    </rPh>
    <phoneticPr fontId="1"/>
  </si>
  <si>
    <t>電話番号</t>
    <rPh sb="0" eb="2">
      <t>デンワ</t>
    </rPh>
    <rPh sb="2" eb="4">
      <t>バンゴウ</t>
    </rPh>
    <phoneticPr fontId="1"/>
  </si>
  <si>
    <t>Mailｱﾄﾞﾚｽ</t>
    <phoneticPr fontId="1"/>
  </si>
  <si>
    <t>所在地</t>
    <rPh sb="0" eb="3">
      <t>ショザイチ</t>
    </rPh>
    <phoneticPr fontId="1"/>
  </si>
  <si>
    <t>数量</t>
    <rPh sb="0" eb="2">
      <t>スウリョウ</t>
    </rPh>
    <phoneticPr fontId="1"/>
  </si>
  <si>
    <t>添付書類
番号</t>
    <rPh sb="0" eb="2">
      <t>テンプ</t>
    </rPh>
    <rPh sb="2" eb="4">
      <t>ショルイ</t>
    </rPh>
    <rPh sb="5" eb="7">
      <t>バンゴウ</t>
    </rPh>
    <phoneticPr fontId="1"/>
  </si>
  <si>
    <t>合計</t>
    <rPh sb="0" eb="1">
      <t>ゴウ</t>
    </rPh>
    <phoneticPr fontId="1"/>
  </si>
  <si>
    <t>歳入</t>
    <rPh sb="0" eb="2">
      <t>サイニュウ</t>
    </rPh>
    <phoneticPr fontId="4"/>
  </si>
  <si>
    <t>款</t>
    <rPh sb="0" eb="1">
      <t>カン</t>
    </rPh>
    <phoneticPr fontId="4"/>
  </si>
  <si>
    <t>項</t>
    <rPh sb="0" eb="1">
      <t>コウ</t>
    </rPh>
    <phoneticPr fontId="4"/>
  </si>
  <si>
    <t>目</t>
    <rPh sb="0" eb="1">
      <t>モク</t>
    </rPh>
    <phoneticPr fontId="4"/>
  </si>
  <si>
    <t>予算現額</t>
    <rPh sb="0" eb="2">
      <t>ヨサン</t>
    </rPh>
    <rPh sb="2" eb="3">
      <t>ウツツ</t>
    </rPh>
    <rPh sb="3" eb="4">
      <t>ガク</t>
    </rPh>
    <phoneticPr fontId="4"/>
  </si>
  <si>
    <t>節</t>
    <rPh sb="0" eb="1">
      <t>セツ</t>
    </rPh>
    <phoneticPr fontId="4"/>
  </si>
  <si>
    <t>備考</t>
    <rPh sb="0" eb="2">
      <t>ビコウ</t>
    </rPh>
    <phoneticPr fontId="4"/>
  </si>
  <si>
    <t>区分</t>
    <rPh sb="0" eb="2">
      <t>クブン</t>
    </rPh>
    <phoneticPr fontId="4"/>
  </si>
  <si>
    <t>金額</t>
    <rPh sb="0" eb="2">
      <t>キンガク</t>
    </rPh>
    <phoneticPr fontId="4"/>
  </si>
  <si>
    <t>円</t>
    <rPh sb="0" eb="1">
      <t>エン</t>
    </rPh>
    <phoneticPr fontId="4"/>
  </si>
  <si>
    <t>歳出</t>
    <rPh sb="0" eb="2">
      <t>サイシュツ</t>
    </rPh>
    <phoneticPr fontId="4"/>
  </si>
  <si>
    <t>　　　原本と相違ないことを証明します。</t>
    <rPh sb="3" eb="5">
      <t>ゲンポン</t>
    </rPh>
    <rPh sb="6" eb="8">
      <t>ソウイ</t>
    </rPh>
    <rPh sb="13" eb="15">
      <t>ショウメイ</t>
    </rPh>
    <phoneticPr fontId="4"/>
  </si>
  <si>
    <t>代表者職氏名</t>
    <rPh sb="0" eb="3">
      <t>ダイヒョウシャ</t>
    </rPh>
    <rPh sb="3" eb="4">
      <t>ショク</t>
    </rPh>
    <rPh sb="4" eb="6">
      <t>シメイ</t>
    </rPh>
    <phoneticPr fontId="1"/>
  </si>
  <si>
    <t>１　施設の名称及び所在地</t>
    <phoneticPr fontId="1"/>
  </si>
  <si>
    <t>５　添付書類</t>
    <rPh sb="2" eb="4">
      <t>テンプ</t>
    </rPh>
    <rPh sb="4" eb="6">
      <t>ショルイ</t>
    </rPh>
    <phoneticPr fontId="1"/>
  </si>
  <si>
    <t>施設所在地</t>
    <rPh sb="0" eb="5">
      <t>シセツショザイチ</t>
    </rPh>
    <phoneticPr fontId="1"/>
  </si>
  <si>
    <t>(注）節の金額が他の事業を含む場合は、当該補助対象事業分を備考欄に記入すること。</t>
    <rPh sb="1" eb="2">
      <t>チュウ</t>
    </rPh>
    <rPh sb="3" eb="4">
      <t>セツ</t>
    </rPh>
    <rPh sb="5" eb="7">
      <t>キンガク</t>
    </rPh>
    <rPh sb="8" eb="9">
      <t>タ</t>
    </rPh>
    <rPh sb="10" eb="12">
      <t>ジギョウ</t>
    </rPh>
    <rPh sb="13" eb="14">
      <t>フク</t>
    </rPh>
    <rPh sb="15" eb="17">
      <t>バアイ</t>
    </rPh>
    <rPh sb="19" eb="21">
      <t>トウガイ</t>
    </rPh>
    <rPh sb="21" eb="23">
      <t>ホジョ</t>
    </rPh>
    <rPh sb="23" eb="25">
      <t>タイショウ</t>
    </rPh>
    <rPh sb="25" eb="27">
      <t>ジギョウ</t>
    </rPh>
    <rPh sb="27" eb="28">
      <t>ブン</t>
    </rPh>
    <rPh sb="29" eb="31">
      <t>ビコウ</t>
    </rPh>
    <rPh sb="31" eb="32">
      <t>ラン</t>
    </rPh>
    <rPh sb="33" eb="35">
      <t>キニュウ</t>
    </rPh>
    <phoneticPr fontId="4"/>
  </si>
  <si>
    <t>（４）その他参考となる書類</t>
    <rPh sb="5" eb="6">
      <t>タ</t>
    </rPh>
    <rPh sb="6" eb="8">
      <t>サンコウ</t>
    </rPh>
    <rPh sb="11" eb="13">
      <t>ショルイ</t>
    </rPh>
    <phoneticPr fontId="1"/>
  </si>
  <si>
    <t>空気清浄機</t>
    <rPh sb="0" eb="2">
      <t>クウキ</t>
    </rPh>
    <rPh sb="2" eb="5">
      <t>セイジョウキ</t>
    </rPh>
    <phoneticPr fontId="1"/>
  </si>
  <si>
    <t>簡易ベッド</t>
    <rPh sb="0" eb="2">
      <t>カンイ</t>
    </rPh>
    <phoneticPr fontId="1"/>
  </si>
  <si>
    <t>施設の名称</t>
    <rPh sb="0" eb="2">
      <t>シセツ</t>
    </rPh>
    <rPh sb="3" eb="5">
      <t>メイショウ</t>
    </rPh>
    <phoneticPr fontId="1"/>
  </si>
  <si>
    <t>県補助
基本額
(G)</t>
    <phoneticPr fontId="1"/>
  </si>
  <si>
    <t>HEPAフィルター付
空気清浄機</t>
    <phoneticPr fontId="1"/>
  </si>
  <si>
    <t>品目</t>
    <rPh sb="1" eb="2">
      <t>モク</t>
    </rPh>
    <phoneticPr fontId="1"/>
  </si>
  <si>
    <t>型番</t>
    <phoneticPr fontId="1"/>
  </si>
  <si>
    <t>単価</t>
    <phoneticPr fontId="1"/>
  </si>
  <si>
    <t>基準額</t>
    <phoneticPr fontId="1"/>
  </si>
  <si>
    <t>金額</t>
    <phoneticPr fontId="1"/>
  </si>
  <si>
    <t>備考</t>
    <phoneticPr fontId="1"/>
  </si>
  <si>
    <t>個人防護具　明細</t>
    <rPh sb="0" eb="2">
      <t>コジン</t>
    </rPh>
    <rPh sb="2" eb="4">
      <t>ボウゴ</t>
    </rPh>
    <rPh sb="4" eb="5">
      <t>グ</t>
    </rPh>
    <rPh sb="6" eb="8">
      <t>メイサイ</t>
    </rPh>
    <phoneticPr fontId="1"/>
  </si>
  <si>
    <t>種類</t>
    <rPh sb="0" eb="2">
      <t>シュルイ</t>
    </rPh>
    <phoneticPr fontId="1"/>
  </si>
  <si>
    <t>品目</t>
    <rPh sb="0" eb="1">
      <t>ヒン</t>
    </rPh>
    <rPh sb="1" eb="2">
      <t>モク</t>
    </rPh>
    <phoneticPr fontId="1"/>
  </si>
  <si>
    <t>所　  在 　 地</t>
    <rPh sb="0" eb="1">
      <t>トコロ</t>
    </rPh>
    <rPh sb="4" eb="5">
      <t>ザイ</t>
    </rPh>
    <rPh sb="8" eb="9">
      <t>チ</t>
    </rPh>
    <phoneticPr fontId="1"/>
  </si>
  <si>
    <t>HEPAフィルター付
パーテーション</t>
    <phoneticPr fontId="1"/>
  </si>
  <si>
    <t>総事業費
(A)</t>
    <phoneticPr fontId="1"/>
  </si>
  <si>
    <t>基準額
（E）</t>
    <phoneticPr fontId="1"/>
  </si>
  <si>
    <t>選定額
(F)</t>
    <phoneticPr fontId="1"/>
  </si>
  <si>
    <t>規格（型式）</t>
    <phoneticPr fontId="1"/>
  </si>
  <si>
    <t>HEPAﾌｨﾙﾀｰ付空気清浄機
（陰圧対応可能なものに限る）</t>
    <phoneticPr fontId="1"/>
  </si>
  <si>
    <t>計</t>
    <rPh sb="0" eb="1">
      <t>ケイ</t>
    </rPh>
    <phoneticPr fontId="1"/>
  </si>
  <si>
    <t>単価（税込）</t>
    <rPh sb="3" eb="5">
      <t>ゼイコ</t>
    </rPh>
    <phoneticPr fontId="1"/>
  </si>
  <si>
    <t>判定</t>
    <rPh sb="0" eb="2">
      <t>ハンテイ</t>
    </rPh>
    <phoneticPr fontId="1"/>
  </si>
  <si>
    <t>従事日数</t>
    <rPh sb="0" eb="2">
      <t>ジュウジ</t>
    </rPh>
    <rPh sb="2" eb="4">
      <t>ニッスウ</t>
    </rPh>
    <phoneticPr fontId="1"/>
  </si>
  <si>
    <t>従事人数</t>
    <rPh sb="0" eb="2">
      <t>ジュウジ</t>
    </rPh>
    <rPh sb="2" eb="4">
      <t>ニンズウ</t>
    </rPh>
    <phoneticPr fontId="1"/>
  </si>
  <si>
    <t>補助対象員数</t>
    <rPh sb="0" eb="2">
      <t>ホジョ</t>
    </rPh>
    <rPh sb="2" eb="4">
      <t>タイショウ</t>
    </rPh>
    <rPh sb="4" eb="6">
      <t>インズウ</t>
    </rPh>
    <phoneticPr fontId="1"/>
  </si>
  <si>
    <t>→</t>
  </si>
  <si>
    <t>→</t>
    <phoneticPr fontId="1"/>
  </si>
  <si>
    <t>判定</t>
    <rPh sb="0" eb="2">
      <t>ハンテイ</t>
    </rPh>
    <phoneticPr fontId="1"/>
  </si>
  <si>
    <t>単価(税抜)</t>
    <rPh sb="0" eb="2">
      <t>タンカ</t>
    </rPh>
    <rPh sb="3" eb="4">
      <t>ゼイ</t>
    </rPh>
    <rPh sb="4" eb="5">
      <t>ヌ</t>
    </rPh>
    <phoneticPr fontId="1"/>
  </si>
  <si>
    <t>単価(税込)</t>
    <rPh sb="0" eb="2">
      <t>タンカ</t>
    </rPh>
    <rPh sb="3" eb="4">
      <t>ゼイ</t>
    </rPh>
    <rPh sb="4" eb="5">
      <t>コミ</t>
    </rPh>
    <phoneticPr fontId="1"/>
  </si>
  <si>
    <t>金額(税込)</t>
    <rPh sb="0" eb="2">
      <t>キンガク</t>
    </rPh>
    <rPh sb="3" eb="5">
      <t>ゼイコミ</t>
    </rPh>
    <phoneticPr fontId="1"/>
  </si>
  <si>
    <t>不備の箇所等</t>
    <rPh sb="0" eb="2">
      <t>フビ</t>
    </rPh>
    <rPh sb="3" eb="5">
      <t>カショ</t>
    </rPh>
    <rPh sb="5" eb="6">
      <t>トウ</t>
    </rPh>
    <phoneticPr fontId="1"/>
  </si>
  <si>
    <t>→</t>
    <phoneticPr fontId="1"/>
  </si>
  <si>
    <t>令和</t>
  </si>
  <si>
    <t>令和</t>
    <rPh sb="0" eb="2">
      <t>レイワ</t>
    </rPh>
    <phoneticPr fontId="1"/>
  </si>
  <si>
    <t>年</t>
  </si>
  <si>
    <t>年</t>
    <rPh sb="0" eb="1">
      <t>ネン</t>
    </rPh>
    <phoneticPr fontId="1"/>
  </si>
  <si>
    <t>月</t>
  </si>
  <si>
    <t>月</t>
    <rPh sb="0" eb="1">
      <t>ツキ</t>
    </rPh>
    <phoneticPr fontId="1"/>
  </si>
  <si>
    <t>日</t>
  </si>
  <si>
    <t>日</t>
    <rPh sb="0" eb="1">
      <t>ヒ</t>
    </rPh>
    <phoneticPr fontId="1"/>
  </si>
  <si>
    <t>簡易診療室　明細</t>
    <phoneticPr fontId="1"/>
  </si>
  <si>
    <t>←入力の過程で記載不十分の表示がされますが、
　適切に入力がされると表示は解消されます。</t>
    <phoneticPr fontId="1"/>
  </si>
  <si>
    <t>この
シート</t>
    <phoneticPr fontId="1"/>
  </si>
  <si>
    <t>氏　名</t>
    <rPh sb="0" eb="1">
      <t>シ</t>
    </rPh>
    <rPh sb="2" eb="3">
      <t>ナ</t>
    </rPh>
    <phoneticPr fontId="12"/>
  </si>
  <si>
    <t>担　当　者</t>
    <rPh sb="0" eb="1">
      <t>タン</t>
    </rPh>
    <rPh sb="2" eb="3">
      <t>トウ</t>
    </rPh>
    <rPh sb="4" eb="5">
      <t>モノ</t>
    </rPh>
    <phoneticPr fontId="12"/>
  </si>
  <si>
    <t>電話番号</t>
    <rPh sb="0" eb="1">
      <t>デン</t>
    </rPh>
    <rPh sb="1" eb="2">
      <t>ハナシ</t>
    </rPh>
    <rPh sb="2" eb="4">
      <t>バンゴウ</t>
    </rPh>
    <phoneticPr fontId="12"/>
  </si>
  <si>
    <t>メールアドレス</t>
  </si>
  <si>
    <t>金融機関コード</t>
    <rPh sb="0" eb="2">
      <t>キンユウ</t>
    </rPh>
    <rPh sb="2" eb="4">
      <t>キカン</t>
    </rPh>
    <phoneticPr fontId="4"/>
  </si>
  <si>
    <t>支店番号</t>
    <rPh sb="0" eb="2">
      <t>シテン</t>
    </rPh>
    <rPh sb="2" eb="4">
      <t>バンゴウ</t>
    </rPh>
    <phoneticPr fontId="4"/>
  </si>
  <si>
    <t>金融機関名</t>
    <rPh sb="0" eb="2">
      <t>キンユウ</t>
    </rPh>
    <rPh sb="2" eb="4">
      <t>キカン</t>
    </rPh>
    <rPh sb="4" eb="5">
      <t>メイ</t>
    </rPh>
    <phoneticPr fontId="4"/>
  </si>
  <si>
    <t>店　名</t>
    <rPh sb="0" eb="1">
      <t>ミセ</t>
    </rPh>
    <rPh sb="2" eb="3">
      <t>ナ</t>
    </rPh>
    <phoneticPr fontId="4"/>
  </si>
  <si>
    <t>預金種類</t>
    <rPh sb="0" eb="2">
      <t>ヨキン</t>
    </rPh>
    <rPh sb="2" eb="4">
      <t>シュルイ</t>
    </rPh>
    <phoneticPr fontId="4"/>
  </si>
  <si>
    <t>口座番号</t>
    <rPh sb="0" eb="2">
      <t>コウザ</t>
    </rPh>
    <rPh sb="2" eb="4">
      <t>バンゴウ</t>
    </rPh>
    <phoneticPr fontId="4"/>
  </si>
  <si>
    <t>口座名義（ｶﾅ）</t>
    <rPh sb="0" eb="2">
      <t>コウザ</t>
    </rPh>
    <rPh sb="2" eb="4">
      <t>メイギ</t>
    </rPh>
    <phoneticPr fontId="12"/>
  </si>
  <si>
    <r>
      <t>　　※口座名義（カナ）：</t>
    </r>
    <r>
      <rPr>
        <b/>
        <u val="double"/>
        <sz val="14"/>
        <color rgb="FFFF0000"/>
        <rFont val="游ゴシック"/>
        <family val="3"/>
        <charset val="128"/>
        <scheme val="minor"/>
      </rPr>
      <t>通帳の見開き等に記載されているカタカナの名義</t>
    </r>
    <r>
      <rPr>
        <b/>
        <sz val="14"/>
        <color rgb="FFFF0000"/>
        <rFont val="游ゴシック"/>
        <family val="3"/>
        <charset val="128"/>
        <scheme val="minor"/>
      </rPr>
      <t>をスペースを含め正確に記載してください。</t>
    </r>
    <rPh sb="3" eb="5">
      <t>コウザ</t>
    </rPh>
    <rPh sb="5" eb="7">
      <t>メイギ</t>
    </rPh>
    <rPh sb="12" eb="14">
      <t>ツウチョウ</t>
    </rPh>
    <rPh sb="15" eb="17">
      <t>ミヒラ</t>
    </rPh>
    <rPh sb="18" eb="19">
      <t>トウ</t>
    </rPh>
    <rPh sb="20" eb="22">
      <t>キサイ</t>
    </rPh>
    <rPh sb="32" eb="34">
      <t>メイギ</t>
    </rPh>
    <rPh sb="40" eb="41">
      <t>フク</t>
    </rPh>
    <rPh sb="42" eb="44">
      <t>セイカク</t>
    </rPh>
    <rPh sb="45" eb="47">
      <t>キサイ</t>
    </rPh>
    <phoneticPr fontId="12"/>
  </si>
  <si>
    <t>以下のとおりです。</t>
    <phoneticPr fontId="1"/>
  </si>
  <si>
    <t>総合</t>
    <rPh sb="0" eb="2">
      <t>ソウゴウ</t>
    </rPh>
    <phoneticPr fontId="1"/>
  </si>
  <si>
    <r>
      <t>振込先情報</t>
    </r>
    <r>
      <rPr>
        <b/>
        <sz val="12"/>
        <color rgb="FFFF0000"/>
        <rFont val="游ゴシック"/>
        <family val="3"/>
        <charset val="128"/>
        <scheme val="minor"/>
      </rPr>
      <t>※2</t>
    </r>
    <rPh sb="0" eb="3">
      <t>フリコミサキ</t>
    </rPh>
    <rPh sb="3" eb="5">
      <t>ジョウホウ</t>
    </rPh>
    <phoneticPr fontId="12"/>
  </si>
  <si>
    <t>振込先通帳写し　貼り付け用台紙
令和４年度　新型コロナウイルス感染症診療・検査医療機関設備整備費補助金</t>
    <rPh sb="0" eb="3">
      <t>フリコミサキ</t>
    </rPh>
    <rPh sb="3" eb="5">
      <t>ツウチョウ</t>
    </rPh>
    <rPh sb="5" eb="6">
      <t>ウツ</t>
    </rPh>
    <rPh sb="8" eb="9">
      <t>ハ</t>
    </rPh>
    <rPh sb="10" eb="11">
      <t>ツ</t>
    </rPh>
    <rPh sb="12" eb="13">
      <t>ヨウ</t>
    </rPh>
    <rPh sb="13" eb="15">
      <t>ダイシ</t>
    </rPh>
    <phoneticPr fontId="12"/>
  </si>
  <si>
    <t>簡易診療室</t>
    <rPh sb="0" eb="2">
      <t>カンイ</t>
    </rPh>
    <rPh sb="2" eb="5">
      <t>シンリョウシツ</t>
    </rPh>
    <phoneticPr fontId="1"/>
  </si>
  <si>
    <t>判定</t>
    <rPh sb="0" eb="2">
      <t>ハンテイ</t>
    </rPh>
    <phoneticPr fontId="1"/>
  </si>
  <si>
    <t>不備の箇所等</t>
    <rPh sb="0" eb="2">
      <t>フビ</t>
    </rPh>
    <rPh sb="3" eb="5">
      <t>カショ</t>
    </rPh>
    <rPh sb="5" eb="6">
      <t>トウ</t>
    </rPh>
    <phoneticPr fontId="1"/>
  </si>
  <si>
    <t>項目</t>
    <rPh sb="0" eb="2">
      <t>コウモク</t>
    </rPh>
    <phoneticPr fontId="1"/>
  </si>
  <si>
    <t>コメント</t>
    <phoneticPr fontId="1"/>
  </si>
  <si>
    <t>総合判定</t>
    <rPh sb="0" eb="2">
      <t>ソウゴウ</t>
    </rPh>
    <rPh sb="2" eb="4">
      <t>ハンテイ</t>
    </rPh>
    <phoneticPr fontId="1"/>
  </si>
  <si>
    <t>入力項目</t>
    <rPh sb="0" eb="2">
      <t>ニュウリョク</t>
    </rPh>
    <rPh sb="2" eb="4">
      <t>コウモク</t>
    </rPh>
    <phoneticPr fontId="1"/>
  </si>
  <si>
    <t>判定</t>
    <rPh sb="0" eb="2">
      <t>ハンテイ</t>
    </rPh>
    <phoneticPr fontId="1"/>
  </si>
  <si>
    <t>総合判定</t>
    <rPh sb="0" eb="2">
      <t>ソウゴウ</t>
    </rPh>
    <rPh sb="2" eb="4">
      <t>ハンテイ</t>
    </rPh>
    <phoneticPr fontId="1"/>
  </si>
  <si>
    <t>コメント</t>
    <phoneticPr fontId="1"/>
  </si>
  <si>
    <t>参考）○：未記入、×：入力不十分、◎：適切に入力</t>
    <rPh sb="0" eb="2">
      <t>サンコウ</t>
    </rPh>
    <rPh sb="5" eb="8">
      <t>ミキニュウ</t>
    </rPh>
    <rPh sb="11" eb="13">
      <t>ニュウリョク</t>
    </rPh>
    <rPh sb="13" eb="16">
      <t>フジュウブン</t>
    </rPh>
    <rPh sb="19" eb="21">
      <t>テキセツ</t>
    </rPh>
    <rPh sb="22" eb="24">
      <t>ニュウリョク</t>
    </rPh>
    <phoneticPr fontId="1"/>
  </si>
  <si>
    <t>①「はじめに」の入力</t>
    <rPh sb="8" eb="10">
      <t>ニュウリョク</t>
    </rPh>
    <phoneticPr fontId="1"/>
  </si>
  <si>
    <t>２．防護具情報</t>
    <rPh sb="2" eb="4">
      <t>ボウゴ</t>
    </rPh>
    <rPh sb="4" eb="5">
      <t>グ</t>
    </rPh>
    <rPh sb="5" eb="7">
      <t>ジョウホウ</t>
    </rPh>
    <phoneticPr fontId="1"/>
  </si>
  <si>
    <t>電話番号（担当直通）</t>
    <rPh sb="0" eb="2">
      <t>デンワ</t>
    </rPh>
    <rPh sb="2" eb="4">
      <t>バンゴウ</t>
    </rPh>
    <rPh sb="5" eb="7">
      <t>タントウ</t>
    </rPh>
    <rPh sb="7" eb="9">
      <t>チョクツウ</t>
    </rPh>
    <phoneticPr fontId="1"/>
  </si>
  <si>
    <t>Mailｱﾄﾞﾚｽ（担当直通）</t>
    <rPh sb="10" eb="12">
      <t>タントウ</t>
    </rPh>
    <rPh sb="12" eb="14">
      <t>チョクツウ</t>
    </rPh>
    <phoneticPr fontId="1"/>
  </si>
  <si>
    <t>法人・個人事業主の別</t>
    <rPh sb="0" eb="2">
      <t>ホウジン</t>
    </rPh>
    <rPh sb="3" eb="5">
      <t>コジン</t>
    </rPh>
    <rPh sb="5" eb="8">
      <t>ジギョウヌシ</t>
    </rPh>
    <rPh sb="9" eb="10">
      <t>ベツ</t>
    </rPh>
    <phoneticPr fontId="1"/>
  </si>
  <si>
    <t>　　　法人（医療法人等）</t>
    <rPh sb="3" eb="5">
      <t>ホウジン</t>
    </rPh>
    <rPh sb="6" eb="8">
      <t>イリョウ</t>
    </rPh>
    <rPh sb="8" eb="10">
      <t>ホウジン</t>
    </rPh>
    <rPh sb="10" eb="11">
      <t>トウ</t>
    </rPh>
    <phoneticPr fontId="1"/>
  </si>
  <si>
    <t>　　　個人事業主（法人ではない）</t>
    <rPh sb="3" eb="5">
      <t>コジン</t>
    </rPh>
    <rPh sb="5" eb="7">
      <t>ジギョウ</t>
    </rPh>
    <rPh sb="7" eb="8">
      <t>ヌシ</t>
    </rPh>
    <rPh sb="9" eb="11">
      <t>ホウジン</t>
    </rPh>
    <phoneticPr fontId="1"/>
  </si>
  <si>
    <t>入力判定</t>
    <rPh sb="0" eb="2">
      <t>ニュウリョク</t>
    </rPh>
    <rPh sb="2" eb="4">
      <t>ハンテイ</t>
    </rPh>
    <phoneticPr fontId="1"/>
  </si>
  <si>
    <t>記入項目</t>
    <rPh sb="0" eb="2">
      <t>キニュウ</t>
    </rPh>
    <rPh sb="2" eb="4">
      <t>コウモク</t>
    </rPh>
    <phoneticPr fontId="1"/>
  </si>
  <si>
    <t>記入欄</t>
    <rPh sb="0" eb="2">
      <t>キニュウ</t>
    </rPh>
    <rPh sb="2" eb="3">
      <t>ラン</t>
    </rPh>
    <phoneticPr fontId="1"/>
  </si>
  <si>
    <t>令和</t>
    <rPh sb="0" eb="2">
      <t>レイワ</t>
    </rPh>
    <phoneticPr fontId="1"/>
  </si>
  <si>
    <t>年</t>
    <rPh sb="0" eb="1">
      <t>ネン</t>
    </rPh>
    <phoneticPr fontId="1"/>
  </si>
  <si>
    <t>月</t>
    <rPh sb="0" eb="1">
      <t>ガツ</t>
    </rPh>
    <phoneticPr fontId="1"/>
  </si>
  <si>
    <t>日</t>
    <rPh sb="0" eb="1">
      <t>ニチ</t>
    </rPh>
    <phoneticPr fontId="1"/>
  </si>
  <si>
    <t>○</t>
  </si>
  <si>
    <t>○</t>
    <phoneticPr fontId="1"/>
  </si>
  <si>
    <t>書類名称</t>
    <rPh sb="0" eb="2">
      <t>ショルイ</t>
    </rPh>
    <rPh sb="2" eb="4">
      <t>メイショウ</t>
    </rPh>
    <phoneticPr fontId="1"/>
  </si>
  <si>
    <t>はじめに入力してください</t>
    <rPh sb="4" eb="6">
      <t>ニュウリョク</t>
    </rPh>
    <phoneticPr fontId="1"/>
  </si>
  <si>
    <t>個人防護具明細</t>
    <rPh sb="0" eb="2">
      <t>コジン</t>
    </rPh>
    <rPh sb="2" eb="4">
      <t>ボウゴ</t>
    </rPh>
    <rPh sb="4" eb="5">
      <t>グ</t>
    </rPh>
    <rPh sb="5" eb="7">
      <t>メイサイ</t>
    </rPh>
    <phoneticPr fontId="1"/>
  </si>
  <si>
    <t>簡易診療室明細</t>
    <rPh sb="0" eb="2">
      <t>カンイ</t>
    </rPh>
    <rPh sb="2" eb="5">
      <t>シンリョウシツ</t>
    </rPh>
    <rPh sb="5" eb="7">
      <t>メイサイ</t>
    </rPh>
    <phoneticPr fontId="1"/>
  </si>
  <si>
    <t>【必須】</t>
    <rPh sb="1" eb="3">
      <t>ヒッス</t>
    </rPh>
    <phoneticPr fontId="1"/>
  </si>
  <si>
    <t>公立医療機関の場合のみ</t>
    <rPh sb="0" eb="2">
      <t>コウリツ</t>
    </rPh>
    <rPh sb="2" eb="4">
      <t>イリョウ</t>
    </rPh>
    <rPh sb="4" eb="6">
      <t>キカン</t>
    </rPh>
    <rPh sb="7" eb="9">
      <t>バアイ</t>
    </rPh>
    <phoneticPr fontId="1"/>
  </si>
  <si>
    <t>入力の要否</t>
    <rPh sb="0" eb="2">
      <t>ニュウリョク</t>
    </rPh>
    <rPh sb="3" eb="5">
      <t>ヨウヒ</t>
    </rPh>
    <phoneticPr fontId="1"/>
  </si>
  <si>
    <t>補助金以外で事業に充当する寄付金その他の収入がある場合は入力してください。
（ない場合は入力は不要です。）</t>
    <rPh sb="0" eb="3">
      <t>ホジョキン</t>
    </rPh>
    <rPh sb="3" eb="5">
      <t>イガイ</t>
    </rPh>
    <rPh sb="6" eb="8">
      <t>ジギョウ</t>
    </rPh>
    <rPh sb="9" eb="11">
      <t>ジュウトウ</t>
    </rPh>
    <rPh sb="25" eb="27">
      <t>バアイ</t>
    </rPh>
    <rPh sb="28" eb="30">
      <t>ニュウリョク</t>
    </rPh>
    <rPh sb="41" eb="43">
      <t>バアイ</t>
    </rPh>
    <rPh sb="44" eb="46">
      <t>ニュウリョク</t>
    </rPh>
    <rPh sb="47" eb="49">
      <t>フヨウ</t>
    </rPh>
    <phoneticPr fontId="1"/>
  </si>
  <si>
    <t>施設名称</t>
    <rPh sb="0" eb="2">
      <t>シセツ</t>
    </rPh>
    <rPh sb="2" eb="4">
      <t>メイショウ</t>
    </rPh>
    <phoneticPr fontId="1"/>
  </si>
  <si>
    <t>支店名</t>
    <rPh sb="0" eb="3">
      <t>シテンメイ</t>
    </rPh>
    <phoneticPr fontId="1"/>
  </si>
  <si>
    <t>口座番号</t>
    <rPh sb="0" eb="2">
      <t>コウザ</t>
    </rPh>
    <rPh sb="2" eb="4">
      <t>バンゴウ</t>
    </rPh>
    <phoneticPr fontId="1"/>
  </si>
  <si>
    <t>総合判定</t>
    <rPh sb="0" eb="2">
      <t>ソウゴウ</t>
    </rPh>
    <rPh sb="2" eb="4">
      <t>ハンテイ</t>
    </rPh>
    <phoneticPr fontId="1"/>
  </si>
  <si>
    <t>　　　公立医療機関</t>
    <rPh sb="3" eb="5">
      <t>コウリツ</t>
    </rPh>
    <rPh sb="5" eb="7">
      <t>イリョウ</t>
    </rPh>
    <rPh sb="7" eb="9">
      <t>キカン</t>
    </rPh>
    <phoneticPr fontId="1"/>
  </si>
  <si>
    <t>申立事項
申請内容が右記事項と相違ないことを確認し、「申立てする」を選択してください。</t>
    <rPh sb="0" eb="2">
      <t>モウシタテ</t>
    </rPh>
    <rPh sb="2" eb="4">
      <t>ジコウ</t>
    </rPh>
    <rPh sb="5" eb="7">
      <t>シンセイ</t>
    </rPh>
    <rPh sb="7" eb="9">
      <t>ナイヨウ</t>
    </rPh>
    <rPh sb="10" eb="12">
      <t>ウキ</t>
    </rPh>
    <rPh sb="12" eb="14">
      <t>ジコウ</t>
    </rPh>
    <rPh sb="15" eb="17">
      <t>ソウイ</t>
    </rPh>
    <rPh sb="22" eb="24">
      <t>カクニン</t>
    </rPh>
    <rPh sb="27" eb="28">
      <t>モウ</t>
    </rPh>
    <rPh sb="28" eb="29">
      <t>タ</t>
    </rPh>
    <rPh sb="34" eb="36">
      <t>センタク</t>
    </rPh>
    <phoneticPr fontId="1"/>
  </si>
  <si>
    <t>申立てする</t>
    <rPh sb="0" eb="2">
      <t>モウシタテ</t>
    </rPh>
    <phoneticPr fontId="1"/>
  </si>
  <si>
    <t>申し立てしない</t>
    <rPh sb="0" eb="1">
      <t>モウ</t>
    </rPh>
    <rPh sb="2" eb="3">
      <t>タ</t>
    </rPh>
    <phoneticPr fontId="1"/>
  </si>
  <si>
    <t>歳入</t>
    <rPh sb="0" eb="2">
      <t>サイニュウ</t>
    </rPh>
    <phoneticPr fontId="1"/>
  </si>
  <si>
    <t>歳出</t>
    <rPh sb="0" eb="2">
      <t>サイシュツ</t>
    </rPh>
    <phoneticPr fontId="1"/>
  </si>
  <si>
    <t>入力区分</t>
    <rPh sb="0" eb="2">
      <t>ニュウリョク</t>
    </rPh>
    <rPh sb="2" eb="4">
      <t>クブン</t>
    </rPh>
    <phoneticPr fontId="1"/>
  </si>
  <si>
    <t>←入力の過程で記載不十分の表示がされますが、適切に入力がされると表示は解消されます。</t>
    <rPh sb="1" eb="3">
      <t>ニュウリョク</t>
    </rPh>
    <rPh sb="4" eb="6">
      <t>カテイ</t>
    </rPh>
    <rPh sb="7" eb="9">
      <t>キサイ</t>
    </rPh>
    <rPh sb="9" eb="12">
      <t>フジュウブン</t>
    </rPh>
    <rPh sb="13" eb="15">
      <t>ヒョウジ</t>
    </rPh>
    <rPh sb="22" eb="24">
      <t>テキセツ</t>
    </rPh>
    <rPh sb="25" eb="27">
      <t>ニュウリョク</t>
    </rPh>
    <rPh sb="32" eb="34">
      <t>ヒョウジ</t>
    </rPh>
    <rPh sb="35" eb="37">
      <t>カイショウ</t>
    </rPh>
    <phoneticPr fontId="1"/>
  </si>
  <si>
    <t>②「防護具情報」の入力</t>
    <rPh sb="2" eb="4">
      <t>ボウゴ</t>
    </rPh>
    <rPh sb="4" eb="5">
      <t>グ</t>
    </rPh>
    <rPh sb="5" eb="7">
      <t>ジョウホウ</t>
    </rPh>
    <rPh sb="9" eb="11">
      <t>ニュウリョク</t>
    </rPh>
    <phoneticPr fontId="1"/>
  </si>
  <si>
    <t>（任意）文書を発出する際に文書番号が必要である場合は入力してください</t>
    <phoneticPr fontId="1"/>
  </si>
  <si>
    <t>令和</t>
    <phoneticPr fontId="1"/>
  </si>
  <si>
    <t>交付申請</t>
    <rPh sb="0" eb="2">
      <t>コウフ</t>
    </rPh>
    <rPh sb="2" eb="4">
      <t>シンセイ</t>
    </rPh>
    <phoneticPr fontId="1"/>
  </si>
  <si>
    <t>実績報告</t>
    <rPh sb="0" eb="2">
      <t>ジッセキ</t>
    </rPh>
    <rPh sb="2" eb="4">
      <t>ホウコク</t>
    </rPh>
    <phoneticPr fontId="1"/>
  </si>
  <si>
    <t>変更申請</t>
    <rPh sb="0" eb="2">
      <t>ヘンコウ</t>
    </rPh>
    <rPh sb="2" eb="4">
      <t>シンセイ</t>
    </rPh>
    <phoneticPr fontId="1"/>
  </si>
  <si>
    <t>　申請者は、以下いずれの事項にも該当するものであることを申し立てます。
□　補助を受ける経費について他の補助金等の交付を受けていないこと。
□　本補助金により整備した設備は新型コロナウイルス感染症対策の目的以外に使用しないこと。
□　本補助金の収入、支出等に係る証拠書類を５年間適切に整備保管すること。
□　暴力団員又は暴力団関係者と実質的を含めいかなる関係も有していないこと。</t>
    <rPh sb="1" eb="3">
      <t>シンセイ</t>
    </rPh>
    <rPh sb="6" eb="8">
      <t>イカ</t>
    </rPh>
    <rPh sb="12" eb="14">
      <t>ジコウ</t>
    </rPh>
    <rPh sb="16" eb="18">
      <t>ガイトウ</t>
    </rPh>
    <rPh sb="28" eb="29">
      <t>モウ</t>
    </rPh>
    <rPh sb="30" eb="31">
      <t>タ</t>
    </rPh>
    <rPh sb="72" eb="73">
      <t>ホン</t>
    </rPh>
    <rPh sb="73" eb="76">
      <t>ホジョキン</t>
    </rPh>
    <rPh sb="79" eb="81">
      <t>セイビ</t>
    </rPh>
    <rPh sb="86" eb="88">
      <t>シンガタ</t>
    </rPh>
    <rPh sb="95" eb="98">
      <t>カンセンショウ</t>
    </rPh>
    <rPh sb="98" eb="100">
      <t>タイサク</t>
    </rPh>
    <rPh sb="101" eb="103">
      <t>モクテキ</t>
    </rPh>
    <rPh sb="104" eb="105">
      <t>ガイ</t>
    </rPh>
    <rPh sb="106" eb="108">
      <t>シヨウ</t>
    </rPh>
    <rPh sb="117" eb="118">
      <t>ホン</t>
    </rPh>
    <rPh sb="158" eb="159">
      <t>マタ</t>
    </rPh>
    <phoneticPr fontId="1"/>
  </si>
  <si>
    <t>個人防護具の助成申請を行う場合のみ</t>
    <rPh sb="0" eb="2">
      <t>コジン</t>
    </rPh>
    <rPh sb="2" eb="4">
      <t>ボウゴ</t>
    </rPh>
    <rPh sb="4" eb="5">
      <t>グ</t>
    </rPh>
    <rPh sb="6" eb="8">
      <t>ジョセイ</t>
    </rPh>
    <rPh sb="8" eb="10">
      <t>シンセイ</t>
    </rPh>
    <rPh sb="11" eb="12">
      <t>オコナ</t>
    </rPh>
    <rPh sb="13" eb="15">
      <t>バアイ</t>
    </rPh>
    <phoneticPr fontId="1"/>
  </si>
  <si>
    <t>簡易診療室の助成申請を行う場合のみ</t>
    <rPh sb="0" eb="2">
      <t>カンイ</t>
    </rPh>
    <rPh sb="2" eb="5">
      <t>シンリョウシツ</t>
    </rPh>
    <rPh sb="6" eb="8">
      <t>ジョセイ</t>
    </rPh>
    <rPh sb="8" eb="10">
      <t>シンセイ</t>
    </rPh>
    <rPh sb="11" eb="12">
      <t>オコナ</t>
    </rPh>
    <rPh sb="13" eb="15">
      <t>バアイ</t>
    </rPh>
    <phoneticPr fontId="1"/>
  </si>
  <si>
    <t>↘</t>
    <phoneticPr fontId="1"/>
  </si>
  <si>
    <r>
      <t xml:space="preserve">　申請者は、以下いずれの事項にも該当するものであることを申し立てます。
</t>
    </r>
    <r>
      <rPr>
        <b/>
        <sz val="11"/>
        <color theme="1"/>
        <rFont val="Segoe UI Symbol"/>
        <family val="2"/>
      </rPr>
      <t>☑</t>
    </r>
    <r>
      <rPr>
        <b/>
        <sz val="11"/>
        <color theme="1"/>
        <rFont val="游ゴシック"/>
        <family val="3"/>
        <charset val="128"/>
        <scheme val="minor"/>
      </rPr>
      <t xml:space="preserve">　補助を受ける経費について他の補助金等の交付を受けていないこと。
</t>
    </r>
    <r>
      <rPr>
        <b/>
        <sz val="11"/>
        <color theme="1"/>
        <rFont val="Segoe UI Symbol"/>
        <family val="2"/>
      </rPr>
      <t>☑</t>
    </r>
    <r>
      <rPr>
        <b/>
        <sz val="11"/>
        <color theme="1"/>
        <rFont val="游ゴシック"/>
        <family val="3"/>
        <charset val="128"/>
        <scheme val="minor"/>
      </rPr>
      <t xml:space="preserve">　本補助金により整備の物品は新型コロナウイルス感染症対策の目的以外に使用しないこと。
</t>
    </r>
    <r>
      <rPr>
        <b/>
        <sz val="11"/>
        <color theme="1"/>
        <rFont val="Segoe UI Symbol"/>
        <family val="2"/>
      </rPr>
      <t>☑</t>
    </r>
    <r>
      <rPr>
        <b/>
        <sz val="11"/>
        <color theme="1"/>
        <rFont val="游ゴシック"/>
        <family val="3"/>
        <charset val="128"/>
        <scheme val="minor"/>
      </rPr>
      <t xml:space="preserve">　本補助金の収入、支出等に係る証拠書類を５年間適切に整備保管すること。
</t>
    </r>
    <r>
      <rPr>
        <b/>
        <sz val="11"/>
        <color theme="1"/>
        <rFont val="Segoe UI Symbol"/>
        <family val="2"/>
      </rPr>
      <t>☑</t>
    </r>
    <r>
      <rPr>
        <b/>
        <sz val="11"/>
        <color theme="1"/>
        <rFont val="游ゴシック"/>
        <family val="3"/>
        <charset val="128"/>
        <scheme val="minor"/>
      </rPr>
      <t>　暴力団員又は暴力団関係者と実質的を含めいかなる関係も有していないこと。</t>
    </r>
    <rPh sb="1" eb="3">
      <t>シンセイ</t>
    </rPh>
    <rPh sb="6" eb="8">
      <t>イカ</t>
    </rPh>
    <rPh sb="12" eb="14">
      <t>ジコウ</t>
    </rPh>
    <rPh sb="16" eb="18">
      <t>ガイトウ</t>
    </rPh>
    <rPh sb="28" eb="29">
      <t>モウ</t>
    </rPh>
    <rPh sb="30" eb="31">
      <t>タ</t>
    </rPh>
    <rPh sb="72" eb="73">
      <t>ホン</t>
    </rPh>
    <rPh sb="73" eb="76">
      <t>ホジョキン</t>
    </rPh>
    <rPh sb="102" eb="104">
      <t>イガイ</t>
    </rPh>
    <rPh sb="116" eb="117">
      <t>ホン</t>
    </rPh>
    <rPh sb="157" eb="158">
      <t>マタ</t>
    </rPh>
    <phoneticPr fontId="1"/>
  </si>
  <si>
    <t>項目</t>
    <rPh sb="0" eb="2">
      <t>コウモク</t>
    </rPh>
    <phoneticPr fontId="1"/>
  </si>
  <si>
    <t>チェック</t>
    <phoneticPr fontId="1"/>
  </si>
  <si>
    <t>整備理由</t>
    <rPh sb="0" eb="2">
      <t>セイビ</t>
    </rPh>
    <rPh sb="2" eb="4">
      <t>リユウ</t>
    </rPh>
    <phoneticPr fontId="1"/>
  </si>
  <si>
    <t>１．はじめに</t>
    <phoneticPr fontId="1"/>
  </si>
  <si>
    <t>建屋・テント等</t>
    <rPh sb="0" eb="2">
      <t>タテヤ</t>
    </rPh>
    <rPh sb="6" eb="7">
      <t>トウ</t>
    </rPh>
    <phoneticPr fontId="1"/>
  </si>
  <si>
    <t>備品（消耗品除く）</t>
    <rPh sb="0" eb="2">
      <t>ビヒン</t>
    </rPh>
    <rPh sb="3" eb="5">
      <t>ショウモウ</t>
    </rPh>
    <rPh sb="5" eb="6">
      <t>ヒン</t>
    </rPh>
    <rPh sb="6" eb="7">
      <t>ノゾ</t>
    </rPh>
    <phoneticPr fontId="1"/>
  </si>
  <si>
    <t>その他</t>
    <rPh sb="2" eb="3">
      <t>タ</t>
    </rPh>
    <phoneticPr fontId="1"/>
  </si>
  <si>
    <t>設置個所及び用途</t>
    <rPh sb="0" eb="2">
      <t>セッチ</t>
    </rPh>
    <rPh sb="2" eb="4">
      <t>カショ</t>
    </rPh>
    <rPh sb="4" eb="5">
      <t>オヨ</t>
    </rPh>
    <rPh sb="6" eb="8">
      <t>ヨウト</t>
    </rPh>
    <phoneticPr fontId="1"/>
  </si>
  <si>
    <t>金融機関
コード</t>
    <rPh sb="0" eb="2">
      <t>キンユウ</t>
    </rPh>
    <rPh sb="2" eb="4">
      <t>キカン</t>
    </rPh>
    <phoneticPr fontId="39"/>
  </si>
  <si>
    <t>預金種別</t>
    <rPh sb="0" eb="2">
      <t>ヨキン</t>
    </rPh>
    <rPh sb="2" eb="4">
      <t>シュベツ</t>
    </rPh>
    <phoneticPr fontId="39"/>
  </si>
  <si>
    <t>令和　　年　　月　　日　</t>
    <phoneticPr fontId="1"/>
  </si>
  <si>
    <t>　　愛知県知事　殿</t>
    <rPh sb="2" eb="5">
      <t>アイチケン</t>
    </rPh>
    <rPh sb="5" eb="7">
      <t>チジ</t>
    </rPh>
    <rPh sb="8" eb="9">
      <t>ドノ</t>
    </rPh>
    <phoneticPr fontId="1"/>
  </si>
  <si>
    <t>住所</t>
    <rPh sb="0" eb="2">
      <t>ジュウショ</t>
    </rPh>
    <phoneticPr fontId="1"/>
  </si>
  <si>
    <t>請　求　書</t>
    <rPh sb="0" eb="1">
      <t>ショウ</t>
    </rPh>
    <rPh sb="2" eb="3">
      <t>モトム</t>
    </rPh>
    <rPh sb="4" eb="5">
      <t>ショ</t>
    </rPh>
    <phoneticPr fontId="1"/>
  </si>
  <si>
    <t>１．請求金額</t>
    <rPh sb="2" eb="4">
      <t>セイキュウ</t>
    </rPh>
    <rPh sb="4" eb="6">
      <t>キンガク</t>
    </rPh>
    <phoneticPr fontId="1"/>
  </si>
  <si>
    <t>２．振込先口座</t>
    <rPh sb="2" eb="5">
      <t>フリコミサキ</t>
    </rPh>
    <rPh sb="5" eb="7">
      <t>コウザ</t>
    </rPh>
    <phoneticPr fontId="1"/>
  </si>
  <si>
    <t>金融機関名</t>
    <rPh sb="0" eb="2">
      <t>キンユウ</t>
    </rPh>
    <rPh sb="2" eb="4">
      <t>キカン</t>
    </rPh>
    <rPh sb="4" eb="5">
      <t>メイ</t>
    </rPh>
    <phoneticPr fontId="1"/>
  </si>
  <si>
    <t>口座種別</t>
    <rPh sb="0" eb="2">
      <t>コウザ</t>
    </rPh>
    <rPh sb="2" eb="4">
      <t>シュベツ</t>
    </rPh>
    <phoneticPr fontId="1"/>
  </si>
  <si>
    <t>金融機関</t>
    <rPh sb="0" eb="2">
      <t>キンユウ</t>
    </rPh>
    <rPh sb="2" eb="4">
      <t>キカン</t>
    </rPh>
    <phoneticPr fontId="1"/>
  </si>
  <si>
    <t>　令和４年度愛知県新型コロナウイルス感染症診療・検査医療機関設備整備費補助金について、下記の金額を請求します。なお、支払は下記の口座に振り込んでください。</t>
    <rPh sb="43" eb="45">
      <t>カキ</t>
    </rPh>
    <rPh sb="61" eb="63">
      <t>カキ</t>
    </rPh>
    <phoneticPr fontId="1"/>
  </si>
  <si>
    <t>申請額</t>
    <rPh sb="0" eb="3">
      <t>シンセイガク</t>
    </rPh>
    <phoneticPr fontId="12"/>
  </si>
  <si>
    <t>総事業費</t>
    <rPh sb="0" eb="1">
      <t>ソウ</t>
    </rPh>
    <rPh sb="1" eb="3">
      <t>ジギョウ</t>
    </rPh>
    <rPh sb="3" eb="4">
      <t>ヒ</t>
    </rPh>
    <phoneticPr fontId="12"/>
  </si>
  <si>
    <t>寄付金等</t>
    <rPh sb="0" eb="3">
      <t>キフキン</t>
    </rPh>
    <rPh sb="3" eb="4">
      <t>トウ</t>
    </rPh>
    <phoneticPr fontId="12"/>
  </si>
  <si>
    <t>差引</t>
    <rPh sb="0" eb="2">
      <t>サシヒキ</t>
    </rPh>
    <phoneticPr fontId="12"/>
  </si>
  <si>
    <t>支出予定額</t>
    <rPh sb="0" eb="2">
      <t>シシュツ</t>
    </rPh>
    <rPh sb="2" eb="4">
      <t>ヨテイ</t>
    </rPh>
    <rPh sb="4" eb="5">
      <t>ガク</t>
    </rPh>
    <phoneticPr fontId="12"/>
  </si>
  <si>
    <t>基準額</t>
    <rPh sb="0" eb="2">
      <t>キジュン</t>
    </rPh>
    <rPh sb="2" eb="3">
      <t>ガク</t>
    </rPh>
    <phoneticPr fontId="12"/>
  </si>
  <si>
    <t>選定額</t>
    <rPh sb="0" eb="2">
      <t>センテイ</t>
    </rPh>
    <rPh sb="2" eb="3">
      <t>ガク</t>
    </rPh>
    <phoneticPr fontId="12"/>
  </si>
  <si>
    <t>補助基本額</t>
    <rPh sb="0" eb="2">
      <t>ホジョ</t>
    </rPh>
    <rPh sb="2" eb="4">
      <t>キホン</t>
    </rPh>
    <rPh sb="4" eb="5">
      <t>ガク</t>
    </rPh>
    <phoneticPr fontId="12"/>
  </si>
  <si>
    <t>補助額</t>
    <rPh sb="0" eb="2">
      <t>ホジョ</t>
    </rPh>
    <rPh sb="2" eb="3">
      <t>ガク</t>
    </rPh>
    <phoneticPr fontId="12"/>
  </si>
  <si>
    <t>パーテーション</t>
  </si>
  <si>
    <t>号</t>
    <rPh sb="0" eb="1">
      <t>ゴウ</t>
    </rPh>
    <phoneticPr fontId="1"/>
  </si>
  <si>
    <t>交付決定日</t>
    <rPh sb="0" eb="2">
      <t>コウフ</t>
    </rPh>
    <rPh sb="2" eb="4">
      <t>ケッテイ</t>
    </rPh>
    <rPh sb="4" eb="5">
      <t>ビ</t>
    </rPh>
    <phoneticPr fontId="1"/>
  </si>
  <si>
    <t>国事業完了日</t>
    <rPh sb="0" eb="1">
      <t>クニ</t>
    </rPh>
    <rPh sb="1" eb="3">
      <t>ジギョウ</t>
    </rPh>
    <rPh sb="3" eb="5">
      <t>カンリョウ</t>
    </rPh>
    <rPh sb="5" eb="6">
      <t>ビ</t>
    </rPh>
    <phoneticPr fontId="1"/>
  </si>
  <si>
    <t>判定</t>
    <rPh sb="0" eb="2">
      <t>ハンテイ</t>
    </rPh>
    <phoneticPr fontId="1"/>
  </si>
  <si>
    <t>コメント</t>
    <phoneticPr fontId="1"/>
  </si>
  <si>
    <t>年</t>
    <rPh sb="0" eb="1">
      <t>ネン</t>
    </rPh>
    <phoneticPr fontId="1"/>
  </si>
  <si>
    <t>月</t>
    <rPh sb="0" eb="1">
      <t>ツキ</t>
    </rPh>
    <phoneticPr fontId="1"/>
  </si>
  <si>
    <t>日</t>
    <rPh sb="0" eb="1">
      <t>ヒ</t>
    </rPh>
    <phoneticPr fontId="1"/>
  </si>
  <si>
    <t>補助事業者名</t>
    <rPh sb="0" eb="2">
      <t>ホジョ</t>
    </rPh>
    <rPh sb="2" eb="4">
      <t>ジギョウ</t>
    </rPh>
    <rPh sb="4" eb="5">
      <t>シャ</t>
    </rPh>
    <rPh sb="5" eb="6">
      <t>メイ</t>
    </rPh>
    <phoneticPr fontId="4"/>
  </si>
  <si>
    <t>代表者職氏名</t>
    <rPh sb="0" eb="3">
      <t>ダイヒョウシャ</t>
    </rPh>
    <rPh sb="3" eb="4">
      <t>ショク</t>
    </rPh>
    <rPh sb="4" eb="6">
      <t>シメイ</t>
    </rPh>
    <phoneticPr fontId="4"/>
  </si>
  <si>
    <t>交付申請（２次以降）</t>
    <rPh sb="0" eb="2">
      <t>コウフ</t>
    </rPh>
    <rPh sb="2" eb="4">
      <t>シンセイ</t>
    </rPh>
    <rPh sb="6" eb="7">
      <t>ジ</t>
    </rPh>
    <rPh sb="7" eb="9">
      <t>イコウ</t>
    </rPh>
    <phoneticPr fontId="1"/>
  </si>
  <si>
    <t>有</t>
    <rPh sb="0" eb="1">
      <t>ア</t>
    </rPh>
    <phoneticPr fontId="1"/>
  </si>
  <si>
    <t>無</t>
    <rPh sb="0" eb="1">
      <t>ナ</t>
    </rPh>
    <phoneticPr fontId="1"/>
  </si>
  <si>
    <t>振込先口座名義（半角ｶﾅ）</t>
    <rPh sb="3" eb="5">
      <t>コウザ</t>
    </rPh>
    <rPh sb="5" eb="7">
      <t>メイギ</t>
    </rPh>
    <rPh sb="8" eb="10">
      <t>ハンカク</t>
    </rPh>
    <phoneticPr fontId="1"/>
  </si>
  <si>
    <t>金融機関名</t>
    <rPh sb="0" eb="2">
      <t>キンユウ</t>
    </rPh>
    <rPh sb="2" eb="4">
      <t>キカン</t>
    </rPh>
    <rPh sb="4" eb="5">
      <t>メイ</t>
    </rPh>
    <phoneticPr fontId="1"/>
  </si>
  <si>
    <t>申請者情報</t>
    <rPh sb="0" eb="3">
      <t>シンセイシャ</t>
    </rPh>
    <rPh sb="3" eb="5">
      <t>ジョウホウ</t>
    </rPh>
    <phoneticPr fontId="1"/>
  </si>
  <si>
    <t>振込先情報</t>
    <rPh sb="0" eb="3">
      <t>フリコミサキ</t>
    </rPh>
    <rPh sb="3" eb="5">
      <t>ジョウホウ</t>
    </rPh>
    <phoneticPr fontId="1"/>
  </si>
  <si>
    <t>申立て</t>
    <rPh sb="0" eb="1">
      <t>モウ</t>
    </rPh>
    <rPh sb="1" eb="2">
      <t>リツ</t>
    </rPh>
    <phoneticPr fontId="1"/>
  </si>
  <si>
    <t>店名</t>
    <rPh sb="0" eb="2">
      <t>テンメイ</t>
    </rPh>
    <phoneticPr fontId="1"/>
  </si>
  <si>
    <t>預金種類</t>
    <rPh sb="0" eb="2">
      <t>ヨキン</t>
    </rPh>
    <rPh sb="2" eb="4">
      <t>シュルイ</t>
    </rPh>
    <phoneticPr fontId="1"/>
  </si>
  <si>
    <t>口座番号</t>
    <rPh sb="0" eb="2">
      <t>コウザ</t>
    </rPh>
    <rPh sb="2" eb="4">
      <t>バンゴウ</t>
    </rPh>
    <phoneticPr fontId="1"/>
  </si>
  <si>
    <t>１．普通　２．当座　</t>
    <phoneticPr fontId="1"/>
  </si>
  <si>
    <t>空気清浄機・パーテーション・簡易ベッド明細</t>
    <rPh sb="0" eb="2">
      <t>クウキ</t>
    </rPh>
    <rPh sb="2" eb="5">
      <t>セイジョウキ</t>
    </rPh>
    <rPh sb="14" eb="16">
      <t>カンイ</t>
    </rPh>
    <rPh sb="19" eb="21">
      <t>メイサイ</t>
    </rPh>
    <phoneticPr fontId="1"/>
  </si>
  <si>
    <t>１．空気清浄機</t>
    <rPh sb="2" eb="4">
      <t>クウキ</t>
    </rPh>
    <rPh sb="4" eb="7">
      <t>セイジョウキ</t>
    </rPh>
    <phoneticPr fontId="1"/>
  </si>
  <si>
    <t>２．パーテーション</t>
    <phoneticPr fontId="1"/>
  </si>
  <si>
    <t>３．簡易ベッド</t>
    <rPh sb="2" eb="4">
      <t>カンイ</t>
    </rPh>
    <phoneticPr fontId="1"/>
  </si>
  <si>
    <t>設置場所</t>
    <rPh sb="0" eb="2">
      <t>セッチ</t>
    </rPh>
    <rPh sb="2" eb="4">
      <t>バショ</t>
    </rPh>
    <phoneticPr fontId="1"/>
  </si>
  <si>
    <t>陰圧化の方法</t>
    <rPh sb="0" eb="2">
      <t>インアツ</t>
    </rPh>
    <rPh sb="2" eb="3">
      <t>カ</t>
    </rPh>
    <rPh sb="4" eb="6">
      <t>ホウホウ</t>
    </rPh>
    <phoneticPr fontId="1"/>
  </si>
  <si>
    <t>院内（診療スペースに限る。待合室を除く）</t>
    <rPh sb="0" eb="2">
      <t>インナイ</t>
    </rPh>
    <rPh sb="10" eb="11">
      <t>カギ</t>
    </rPh>
    <rPh sb="13" eb="16">
      <t>マチアイシツ</t>
    </rPh>
    <rPh sb="17" eb="18">
      <t>ノゾ</t>
    </rPh>
    <phoneticPr fontId="1"/>
  </si>
  <si>
    <t>簡易診療室（診療スペースに限る。待機スペースを除く。）</t>
    <rPh sb="0" eb="2">
      <t>カンイ</t>
    </rPh>
    <rPh sb="2" eb="5">
      <t>シンリョウシツ</t>
    </rPh>
    <rPh sb="6" eb="8">
      <t>シンリョウ</t>
    </rPh>
    <rPh sb="13" eb="14">
      <t>カギ</t>
    </rPh>
    <rPh sb="16" eb="18">
      <t>タイキ</t>
    </rPh>
    <rPh sb="23" eb="24">
      <t>ノゾ</t>
    </rPh>
    <phoneticPr fontId="1"/>
  </si>
  <si>
    <t>簡易陰圧テント等の設置による。</t>
    <rPh sb="0" eb="2">
      <t>カンイ</t>
    </rPh>
    <rPh sb="2" eb="4">
      <t>インアツ</t>
    </rPh>
    <rPh sb="7" eb="8">
      <t>トウ</t>
    </rPh>
    <rPh sb="9" eb="11">
      <t>セッチ</t>
    </rPh>
    <phoneticPr fontId="1"/>
  </si>
  <si>
    <t>【補助要件】</t>
    <rPh sb="1" eb="3">
      <t>ホジョ</t>
    </rPh>
    <rPh sb="3" eb="5">
      <t>ヨウケン</t>
    </rPh>
    <phoneticPr fontId="1"/>
  </si>
  <si>
    <t>②</t>
    <phoneticPr fontId="1"/>
  </si>
  <si>
    <t>①</t>
    <phoneticPr fontId="1"/>
  </si>
  <si>
    <t>HEPAフィルター式であること。</t>
    <phoneticPr fontId="1"/>
  </si>
  <si>
    <t>発熱外来診療を提供するために整備するものであること。（診療を行わない待合スペース等への整備は補助対象外）</t>
    <rPh sb="30" eb="31">
      <t>オコナ</t>
    </rPh>
    <rPh sb="43" eb="45">
      <t>セイビ</t>
    </rPh>
    <rPh sb="46" eb="48">
      <t>ホジョ</t>
    </rPh>
    <rPh sb="48" eb="50">
      <t>タイショウ</t>
    </rPh>
    <rPh sb="50" eb="51">
      <t>ガイ</t>
    </rPh>
    <phoneticPr fontId="1"/>
  </si>
  <si>
    <t>③</t>
    <phoneticPr fontId="1"/>
  </si>
  <si>
    <t>空気清浄機を設置することにより陰圧環境を確保していること。</t>
    <rPh sb="0" eb="2">
      <t>クウキ</t>
    </rPh>
    <rPh sb="2" eb="5">
      <t>セイジョウキ</t>
    </rPh>
    <rPh sb="6" eb="8">
      <t>セッチ</t>
    </rPh>
    <rPh sb="15" eb="17">
      <t>インアツ</t>
    </rPh>
    <rPh sb="17" eb="19">
      <t>カンキョウ</t>
    </rPh>
    <rPh sb="20" eb="22">
      <t>カクホ</t>
    </rPh>
    <phoneticPr fontId="1"/>
  </si>
  <si>
    <t>（２）経費内訳</t>
    <rPh sb="3" eb="5">
      <t>ケイヒ</t>
    </rPh>
    <rPh sb="5" eb="7">
      <t>ウチワケ</t>
    </rPh>
    <phoneticPr fontId="1"/>
  </si>
  <si>
    <t>（１）設置場所</t>
    <rPh sb="3" eb="5">
      <t>セッチ</t>
    </rPh>
    <rPh sb="5" eb="7">
      <t>バショ</t>
    </rPh>
    <phoneticPr fontId="1"/>
  </si>
  <si>
    <t>本体</t>
    <rPh sb="0" eb="2">
      <t>ホンタイ</t>
    </rPh>
    <phoneticPr fontId="1"/>
  </si>
  <si>
    <t>付属備品（テント等）</t>
    <rPh sb="0" eb="2">
      <t>フゾク</t>
    </rPh>
    <rPh sb="2" eb="4">
      <t>ビヒン</t>
    </rPh>
    <rPh sb="8" eb="9">
      <t>トウ</t>
    </rPh>
    <phoneticPr fontId="1"/>
  </si>
  <si>
    <t>単価(税込)</t>
    <rPh sb="0" eb="2">
      <t>タンカ</t>
    </rPh>
    <rPh sb="3" eb="5">
      <t>ゼイコ</t>
    </rPh>
    <phoneticPr fontId="1"/>
  </si>
  <si>
    <t>金額(税込)</t>
    <rPh sb="0" eb="2">
      <t>キンガク</t>
    </rPh>
    <rPh sb="3" eb="5">
      <t>ゼイコ</t>
    </rPh>
    <phoneticPr fontId="1"/>
  </si>
  <si>
    <t>④</t>
    <phoneticPr fontId="1"/>
  </si>
  <si>
    <t>補助上限額は１施設あたり905,000円。（既に上限額で交付を受けている医療機関は申請できません）</t>
    <rPh sb="0" eb="2">
      <t>ホジョ</t>
    </rPh>
    <rPh sb="2" eb="5">
      <t>ジョウゲンガク</t>
    </rPh>
    <rPh sb="7" eb="9">
      <t>シセツ</t>
    </rPh>
    <rPh sb="19" eb="20">
      <t>エン</t>
    </rPh>
    <rPh sb="22" eb="23">
      <t>スデ</t>
    </rPh>
    <rPh sb="24" eb="27">
      <t>ジョウゲンガク</t>
    </rPh>
    <rPh sb="28" eb="30">
      <t>コウフ</t>
    </rPh>
    <rPh sb="31" eb="32">
      <t>ウ</t>
    </rPh>
    <rPh sb="36" eb="38">
      <t>イリョウ</t>
    </rPh>
    <rPh sb="38" eb="40">
      <t>キカン</t>
    </rPh>
    <rPh sb="41" eb="43">
      <t>シンセイ</t>
    </rPh>
    <phoneticPr fontId="1"/>
  </si>
  <si>
    <t>計(a)</t>
    <rPh sb="0" eb="1">
      <t>ケイ</t>
    </rPh>
    <phoneticPr fontId="1"/>
  </si>
  <si>
    <t>補助基準額/施設(b)</t>
    <rPh sb="0" eb="2">
      <t>ホジョ</t>
    </rPh>
    <rPh sb="2" eb="4">
      <t>キジュン</t>
    </rPh>
    <rPh sb="4" eb="5">
      <t>ガク</t>
    </rPh>
    <rPh sb="6" eb="8">
      <t>シセツ</t>
    </rPh>
    <phoneticPr fontId="1"/>
  </si>
  <si>
    <t>申請可能額(d=b-c)</t>
    <rPh sb="0" eb="2">
      <t>シンセイ</t>
    </rPh>
    <rPh sb="2" eb="4">
      <t>カノウ</t>
    </rPh>
    <rPh sb="4" eb="5">
      <t>ガク</t>
    </rPh>
    <phoneticPr fontId="1"/>
  </si>
  <si>
    <t>既交付額(c)</t>
    <rPh sb="0" eb="1">
      <t>スデ</t>
    </rPh>
    <rPh sb="1" eb="3">
      <t>コウフ</t>
    </rPh>
    <rPh sb="3" eb="4">
      <t>ガク</t>
    </rPh>
    <phoneticPr fontId="1"/>
  </si>
  <si>
    <t>申請額(a,dいずれか小さい額)</t>
    <rPh sb="0" eb="3">
      <t>シンセイガク</t>
    </rPh>
    <rPh sb="11" eb="12">
      <t>チイ</t>
    </rPh>
    <rPh sb="14" eb="15">
      <t>ガク</t>
    </rPh>
    <phoneticPr fontId="1"/>
  </si>
  <si>
    <t>設置場所</t>
    <rPh sb="0" eb="2">
      <t>セッチ</t>
    </rPh>
    <rPh sb="2" eb="4">
      <t>バショ</t>
    </rPh>
    <phoneticPr fontId="1"/>
  </si>
  <si>
    <t>計</t>
    <rPh sb="0" eb="1">
      <t>ケイ</t>
    </rPh>
    <phoneticPr fontId="1"/>
  </si>
  <si>
    <t>基準単価は205,000円/台。</t>
    <rPh sb="0" eb="2">
      <t>キジュン</t>
    </rPh>
    <rPh sb="2" eb="4">
      <t>タンカ</t>
    </rPh>
    <rPh sb="12" eb="13">
      <t>エン</t>
    </rPh>
    <rPh sb="14" eb="15">
      <t>ダイ</t>
    </rPh>
    <phoneticPr fontId="1"/>
  </si>
  <si>
    <t>補助額/台</t>
    <rPh sb="0" eb="2">
      <t>ホジョ</t>
    </rPh>
    <rPh sb="2" eb="3">
      <t>ガク</t>
    </rPh>
    <rPh sb="4" eb="5">
      <t>ダイ</t>
    </rPh>
    <phoneticPr fontId="1"/>
  </si>
  <si>
    <t>院内診療スペース</t>
    <rPh sb="0" eb="2">
      <t>インナイ</t>
    </rPh>
    <rPh sb="2" eb="4">
      <t>シンリョウ</t>
    </rPh>
    <phoneticPr fontId="1"/>
  </si>
  <si>
    <t>簡易診療室</t>
    <rPh sb="0" eb="2">
      <t>カンイ</t>
    </rPh>
    <rPh sb="2" eb="5">
      <t>シンリョウシツ</t>
    </rPh>
    <phoneticPr fontId="1"/>
  </si>
  <si>
    <t>基準単価は51,400円/台。</t>
    <rPh sb="0" eb="2">
      <t>キジュン</t>
    </rPh>
    <rPh sb="2" eb="4">
      <t>タンカ</t>
    </rPh>
    <rPh sb="11" eb="12">
      <t>エン</t>
    </rPh>
    <rPh sb="13" eb="14">
      <t>ダイ</t>
    </rPh>
    <phoneticPr fontId="1"/>
  </si>
  <si>
    <t>発熱外来診療を提供するために整備するものであること。（患者移動を目的としたストレッチャー等は対象外）</t>
    <rPh sb="27" eb="29">
      <t>カンジャ</t>
    </rPh>
    <rPh sb="29" eb="31">
      <t>イドウ</t>
    </rPh>
    <rPh sb="32" eb="34">
      <t>モクテキ</t>
    </rPh>
    <rPh sb="44" eb="45">
      <t>トウ</t>
    </rPh>
    <rPh sb="46" eb="49">
      <t>タイショウガイ</t>
    </rPh>
    <phoneticPr fontId="1"/>
  </si>
  <si>
    <t>空気清浄機</t>
    <rPh sb="0" eb="2">
      <t>クウキ</t>
    </rPh>
    <rPh sb="2" eb="5">
      <t>セイジョウキ</t>
    </rPh>
    <phoneticPr fontId="1"/>
  </si>
  <si>
    <t>パーテーション</t>
    <phoneticPr fontId="1"/>
  </si>
  <si>
    <t>簡易ベッド</t>
    <rPh sb="0" eb="2">
      <t>カンイ</t>
    </rPh>
    <phoneticPr fontId="1"/>
  </si>
  <si>
    <t>ー</t>
    <phoneticPr fontId="1"/>
  </si>
  <si>
    <t>陰圧対応可能な室内に設置、壁へのダクト接続による。</t>
    <phoneticPr fontId="1"/>
  </si>
  <si>
    <t>判定</t>
    <rPh sb="0" eb="2">
      <t>ハンテイ</t>
    </rPh>
    <phoneticPr fontId="1"/>
  </si>
  <si>
    <t>コメント</t>
    <phoneticPr fontId="1"/>
  </si>
  <si>
    <t>品名</t>
    <rPh sb="0" eb="2">
      <t>ヒンメイ</t>
    </rPh>
    <phoneticPr fontId="1"/>
  </si>
  <si>
    <t>内容量</t>
    <rPh sb="0" eb="3">
      <t>ナイヨウリョウ</t>
    </rPh>
    <phoneticPr fontId="1"/>
  </si>
  <si>
    <t>数量</t>
    <rPh sb="0" eb="2">
      <t>スウリョウ</t>
    </rPh>
    <phoneticPr fontId="1"/>
  </si>
  <si>
    <t>税抜額算出</t>
    <rPh sb="0" eb="1">
      <t>ゼイ</t>
    </rPh>
    <rPh sb="1" eb="2">
      <t>ヌ</t>
    </rPh>
    <rPh sb="2" eb="3">
      <t>ガク</t>
    </rPh>
    <rPh sb="3" eb="5">
      <t>サンシュツ</t>
    </rPh>
    <phoneticPr fontId="1"/>
  </si>
  <si>
    <t>ここに入力</t>
    <rPh sb="3" eb="5">
      <t>ニュウリョク</t>
    </rPh>
    <phoneticPr fontId="1"/>
  </si>
  <si>
    <t>税抜額</t>
    <rPh sb="0" eb="1">
      <t>ゼイ</t>
    </rPh>
    <rPh sb="1" eb="2">
      <t>ヌ</t>
    </rPh>
    <rPh sb="2" eb="3">
      <t>ガク</t>
    </rPh>
    <phoneticPr fontId="1"/>
  </si>
  <si>
    <t>※税抜単価がわからない場合はこちらで算出してください。</t>
    <rPh sb="1" eb="3">
      <t>ゼイヌキ</t>
    </rPh>
    <rPh sb="3" eb="5">
      <t>タンカ</t>
    </rPh>
    <rPh sb="11" eb="13">
      <t>バアイ</t>
    </rPh>
    <rPh sb="18" eb="20">
      <t>サンシュツ</t>
    </rPh>
    <phoneticPr fontId="1"/>
  </si>
  <si>
    <t>マスク</t>
    <phoneticPr fontId="1"/>
  </si>
  <si>
    <t>ゴーグル</t>
    <phoneticPr fontId="1"/>
  </si>
  <si>
    <t>ガウン</t>
    <phoneticPr fontId="1"/>
  </si>
  <si>
    <t>グローブ</t>
    <phoneticPr fontId="1"/>
  </si>
  <si>
    <t>キャップ</t>
    <phoneticPr fontId="1"/>
  </si>
  <si>
    <t>フェイスシールド</t>
    <phoneticPr fontId="1"/>
  </si>
  <si>
    <t>品目</t>
    <rPh sb="0" eb="2">
      <t>ヒンモク</t>
    </rPh>
    <phoneticPr fontId="1"/>
  </si>
  <si>
    <t>個数/人・日</t>
    <rPh sb="0" eb="2">
      <t>コスウ</t>
    </rPh>
    <rPh sb="3" eb="4">
      <t>ニン</t>
    </rPh>
    <rPh sb="5" eb="6">
      <t>ニチ</t>
    </rPh>
    <phoneticPr fontId="1"/>
  </si>
  <si>
    <t>過年度（または今年度に）簡易診療室設置に係る補助金の交付を受けているか記入してください。</t>
    <rPh sb="0" eb="3">
      <t>カネンド</t>
    </rPh>
    <rPh sb="7" eb="10">
      <t>コンネンド</t>
    </rPh>
    <phoneticPr fontId="1"/>
  </si>
  <si>
    <t>　　　　交付を受けていない。　　リース料の助成を受けた。　　購入費用の助成を受けた。(追加で整備する理由を以下に記入してください。)</t>
    <rPh sb="43" eb="45">
      <t>ツイカ</t>
    </rPh>
    <rPh sb="46" eb="48">
      <t>セイビ</t>
    </rPh>
    <phoneticPr fontId="1"/>
  </si>
  <si>
    <t>３．簡易診療室情報</t>
    <rPh sb="2" eb="4">
      <t>カンイ</t>
    </rPh>
    <rPh sb="4" eb="7">
      <t>シンリョウシツ</t>
    </rPh>
    <rPh sb="7" eb="9">
      <t>ジョウホウ</t>
    </rPh>
    <phoneticPr fontId="1"/>
  </si>
  <si>
    <t>２．整備方法</t>
    <rPh sb="2" eb="4">
      <t>セイビ</t>
    </rPh>
    <rPh sb="4" eb="6">
      <t>ホウホウ</t>
    </rPh>
    <phoneticPr fontId="1"/>
  </si>
  <si>
    <t>簡易診療室整備をリースにより行うか、購入により行うか記入してください。</t>
    <rPh sb="0" eb="2">
      <t>カンイ</t>
    </rPh>
    <rPh sb="2" eb="5">
      <t>シンリョウシツ</t>
    </rPh>
    <rPh sb="5" eb="7">
      <t>セイビ</t>
    </rPh>
    <rPh sb="14" eb="15">
      <t>オコナ</t>
    </rPh>
    <rPh sb="18" eb="20">
      <t>コウニュウ</t>
    </rPh>
    <rPh sb="23" eb="24">
      <t>オコナ</t>
    </rPh>
    <rPh sb="26" eb="28">
      <t>キニュウ</t>
    </rPh>
    <phoneticPr fontId="1"/>
  </si>
  <si>
    <t>　　　　リースによる整備　　　　　　購入による整備</t>
    <rPh sb="10" eb="12">
      <t>セイビ</t>
    </rPh>
    <rPh sb="18" eb="20">
      <t>コウニュウ</t>
    </rPh>
    <rPh sb="23" eb="25">
      <t>セイビ</t>
    </rPh>
    <phoneticPr fontId="1"/>
  </si>
  <si>
    <t>検討結果</t>
    <rPh sb="0" eb="2">
      <t>ケントウ</t>
    </rPh>
    <rPh sb="2" eb="4">
      <t>ケッカ</t>
    </rPh>
    <phoneticPr fontId="1"/>
  </si>
  <si>
    <t>１．はじめに</t>
    <phoneticPr fontId="1"/>
  </si>
  <si>
    <t>（発熱外来での「従事日数※」及び「従事人数」（黄色セル）を記入してください。）
※令和4年10月1日（診療・検査医療機関の指定を受けた日が10月1日以降の場合は、指定日）から令和5年3月31日（または、診療・検査医療機関の指定取下日）までの期間の従事日数</t>
    <rPh sb="14" eb="15">
      <t>オヨ</t>
    </rPh>
    <rPh sb="23" eb="25">
      <t>キイロ</t>
    </rPh>
    <phoneticPr fontId="1"/>
  </si>
  <si>
    <t>※税抜単価がわからない場合はこちらで算出してください。</t>
    <phoneticPr fontId="1"/>
  </si>
  <si>
    <t>総合
判定</t>
    <rPh sb="0" eb="2">
      <t>ソウゴウ</t>
    </rPh>
    <rPh sb="3" eb="5">
      <t>ハンテイ</t>
    </rPh>
    <phoneticPr fontId="1"/>
  </si>
  <si>
    <t>明細</t>
    <rPh sb="0" eb="2">
      <t>メイサイ</t>
    </rPh>
    <phoneticPr fontId="1"/>
  </si>
  <si>
    <t>選定額</t>
    <rPh sb="0" eb="2">
      <t>センテイ</t>
    </rPh>
    <rPh sb="2" eb="3">
      <t>ガク</t>
    </rPh>
    <phoneticPr fontId="1"/>
  </si>
  <si>
    <t>コメント</t>
    <phoneticPr fontId="1"/>
  </si>
  <si>
    <t>変更申請期間（起）</t>
    <rPh sb="0" eb="2">
      <t>ヘンコウ</t>
    </rPh>
    <rPh sb="2" eb="4">
      <t>シンセイ</t>
    </rPh>
    <rPh sb="4" eb="6">
      <t>キカン</t>
    </rPh>
    <rPh sb="7" eb="8">
      <t>オ</t>
    </rPh>
    <phoneticPr fontId="1"/>
  </si>
  <si>
    <t>変更申請期間（終）</t>
    <rPh sb="0" eb="2">
      <t>ヘンコウ</t>
    </rPh>
    <rPh sb="2" eb="4">
      <t>シンセイ</t>
    </rPh>
    <rPh sb="4" eb="6">
      <t>キカン</t>
    </rPh>
    <rPh sb="7" eb="8">
      <t>オ</t>
    </rPh>
    <phoneticPr fontId="1"/>
  </si>
  <si>
    <t>受付（起）</t>
    <rPh sb="0" eb="2">
      <t>ウケツケ</t>
    </rPh>
    <phoneticPr fontId="1"/>
  </si>
  <si>
    <t>受付（終）</t>
    <rPh sb="0" eb="2">
      <t>ウケツケ</t>
    </rPh>
    <phoneticPr fontId="1"/>
  </si>
  <si>
    <t>コメント</t>
    <phoneticPr fontId="1"/>
  </si>
  <si>
    <t>２．整備方法</t>
    <rPh sb="2" eb="4">
      <t>セイビ</t>
    </rPh>
    <rPh sb="4" eb="6">
      <t>ホウホウ</t>
    </rPh>
    <phoneticPr fontId="1"/>
  </si>
  <si>
    <t>←こちらに税込の単価を入力すると下段に税抜の額が自動で表示されます。</t>
    <rPh sb="5" eb="7">
      <t>ゼイコ</t>
    </rPh>
    <rPh sb="8" eb="10">
      <t>タンカ</t>
    </rPh>
    <rPh sb="11" eb="13">
      <t>ニュウリョク</t>
    </rPh>
    <rPh sb="16" eb="18">
      <t>ゲダン</t>
    </rPh>
    <rPh sb="19" eb="21">
      <t>ゼイヌキ</t>
    </rPh>
    <rPh sb="22" eb="23">
      <t>ガク</t>
    </rPh>
    <rPh sb="24" eb="26">
      <t>ジドウ</t>
    </rPh>
    <rPh sb="27" eb="29">
      <t>ヒョウジ</t>
    </rPh>
    <phoneticPr fontId="1"/>
  </si>
  <si>
    <t>※県記入欄</t>
    <rPh sb="1" eb="2">
      <t>ケン</t>
    </rPh>
    <rPh sb="2" eb="4">
      <t>キニュウ</t>
    </rPh>
    <rPh sb="4" eb="5">
      <t>ラン</t>
    </rPh>
    <phoneticPr fontId="1"/>
  </si>
  <si>
    <t>なお、購入により整備する場合は、必ずリースによる整備を検討し、購入による整備とせざるを得ないと判断した理由を以下の欄に記入してください。（リースによる整備を検討していない及び、購入による整備とせざるを得ないとする理由が不十分と判断される場合には公費による整備に親和しないことから、交付しないこととする場合があります。）</t>
    <rPh sb="3" eb="5">
      <t>コウニュウ</t>
    </rPh>
    <rPh sb="8" eb="10">
      <t>セイビ</t>
    </rPh>
    <rPh sb="12" eb="14">
      <t>バアイ</t>
    </rPh>
    <rPh sb="16" eb="17">
      <t>カナラ</t>
    </rPh>
    <rPh sb="24" eb="26">
      <t>セイビ</t>
    </rPh>
    <rPh sb="27" eb="29">
      <t>ケントウ</t>
    </rPh>
    <rPh sb="31" eb="33">
      <t>コウニュウ</t>
    </rPh>
    <rPh sb="36" eb="38">
      <t>セイビ</t>
    </rPh>
    <rPh sb="43" eb="44">
      <t>エ</t>
    </rPh>
    <rPh sb="47" eb="49">
      <t>ハンダン</t>
    </rPh>
    <rPh sb="51" eb="53">
      <t>リユウ</t>
    </rPh>
    <rPh sb="54" eb="56">
      <t>イカ</t>
    </rPh>
    <rPh sb="57" eb="58">
      <t>ラン</t>
    </rPh>
    <rPh sb="59" eb="61">
      <t>キニュウ</t>
    </rPh>
    <rPh sb="75" eb="77">
      <t>セイビ</t>
    </rPh>
    <rPh sb="78" eb="80">
      <t>ケントウ</t>
    </rPh>
    <rPh sb="85" eb="86">
      <t>オヨ</t>
    </rPh>
    <rPh sb="88" eb="90">
      <t>コウニュウ</t>
    </rPh>
    <rPh sb="93" eb="95">
      <t>セイビ</t>
    </rPh>
    <rPh sb="100" eb="101">
      <t>エ</t>
    </rPh>
    <rPh sb="106" eb="108">
      <t>リユウ</t>
    </rPh>
    <rPh sb="109" eb="112">
      <t>フジュウブン</t>
    </rPh>
    <rPh sb="113" eb="115">
      <t>ハンダン</t>
    </rPh>
    <rPh sb="118" eb="120">
      <t>バアイ</t>
    </rPh>
    <rPh sb="122" eb="124">
      <t>コウヒ</t>
    </rPh>
    <rPh sb="127" eb="129">
      <t>セイビ</t>
    </rPh>
    <rPh sb="130" eb="132">
      <t>シンワ</t>
    </rPh>
    <rPh sb="140" eb="142">
      <t>コウフ</t>
    </rPh>
    <rPh sb="150" eb="152">
      <t>バアイ</t>
    </rPh>
    <phoneticPr fontId="1"/>
  </si>
  <si>
    <t>《以下の品目を申請する場合は、設置場所がわかる図面、購入品目の規格等がわかるカタログ及び見積書を提出すること。》</t>
    <rPh sb="1" eb="3">
      <t>イカ</t>
    </rPh>
    <rPh sb="4" eb="6">
      <t>ヒンモク</t>
    </rPh>
    <rPh sb="7" eb="9">
      <t>シンセイ</t>
    </rPh>
    <rPh sb="11" eb="13">
      <t>バアイ</t>
    </rPh>
    <rPh sb="15" eb="17">
      <t>セッチ</t>
    </rPh>
    <rPh sb="17" eb="19">
      <t>バショ</t>
    </rPh>
    <rPh sb="23" eb="25">
      <t>ズメン</t>
    </rPh>
    <rPh sb="26" eb="28">
      <t>コウニュウ</t>
    </rPh>
    <rPh sb="28" eb="30">
      <t>ヒンモク</t>
    </rPh>
    <rPh sb="31" eb="33">
      <t>キカク</t>
    </rPh>
    <rPh sb="33" eb="34">
      <t>トウ</t>
    </rPh>
    <rPh sb="42" eb="43">
      <t>オヨ</t>
    </rPh>
    <rPh sb="44" eb="47">
      <t>ミツモリショ</t>
    </rPh>
    <rPh sb="48" eb="50">
      <t>テイシュツ</t>
    </rPh>
    <phoneticPr fontId="1"/>
  </si>
  <si>
    <t>（品名・型番、設置場所、経費内訳）</t>
    <rPh sb="1" eb="3">
      <t>ヒンメイ</t>
    </rPh>
    <rPh sb="4" eb="6">
      <t>カタバン</t>
    </rPh>
    <rPh sb="7" eb="9">
      <t>セッチ</t>
    </rPh>
    <rPh sb="9" eb="11">
      <t>バショ</t>
    </rPh>
    <rPh sb="12" eb="14">
      <t>ケイヒ</t>
    </rPh>
    <rPh sb="14" eb="16">
      <t>ウチワケ</t>
    </rPh>
    <phoneticPr fontId="1"/>
  </si>
  <si>
    <t>品名（具体的な商品名。品番ではない。）</t>
    <rPh sb="0" eb="2">
      <t>ヒンメイ</t>
    </rPh>
    <rPh sb="3" eb="6">
      <t>グタイテキ</t>
    </rPh>
    <rPh sb="7" eb="10">
      <t>ショウヒンメイ</t>
    </rPh>
    <rPh sb="11" eb="13">
      <t>ヒンバン</t>
    </rPh>
    <phoneticPr fontId="1"/>
  </si>
  <si>
    <t>←こちらに税込の単価を入力すると下段に税抜の額が
自動で表示されます。</t>
    <phoneticPr fontId="1"/>
  </si>
  <si>
    <t>年</t>
    <rPh sb="0" eb="1">
      <t>ネン</t>
    </rPh>
    <phoneticPr fontId="1"/>
  </si>
  <si>
    <t>月</t>
    <rPh sb="0" eb="1">
      <t>ツキ</t>
    </rPh>
    <phoneticPr fontId="1"/>
  </si>
  <si>
    <t>日</t>
    <rPh sb="0" eb="1">
      <t>ヒ</t>
    </rPh>
    <phoneticPr fontId="1"/>
  </si>
  <si>
    <t>項目</t>
    <rPh sb="0" eb="2">
      <t>コウモク</t>
    </rPh>
    <phoneticPr fontId="1"/>
  </si>
  <si>
    <t>国事業開始日</t>
    <rPh sb="0" eb="1">
      <t>クニ</t>
    </rPh>
    <rPh sb="1" eb="3">
      <t>ジギョウ</t>
    </rPh>
    <rPh sb="3" eb="5">
      <t>カイシ</t>
    </rPh>
    <rPh sb="5" eb="6">
      <t>ビ</t>
    </rPh>
    <phoneticPr fontId="1"/>
  </si>
  <si>
    <t>提出日（年度）</t>
    <rPh sb="0" eb="2">
      <t>テイシュツ</t>
    </rPh>
    <rPh sb="2" eb="3">
      <t>ビ</t>
    </rPh>
    <rPh sb="4" eb="6">
      <t>ネンド</t>
    </rPh>
    <phoneticPr fontId="1"/>
  </si>
  <si>
    <t>新規</t>
    <rPh sb="0" eb="2">
      <t>シンキ</t>
    </rPh>
    <phoneticPr fontId="38"/>
  </si>
  <si>
    <r>
      <t>１．はじめに
　　今回申請するにあたり、以下の記入欄に必要事項を入力してください。
　　→　記入欄右の「判定」が全て「○」となり、</t>
    </r>
    <r>
      <rPr>
        <b/>
        <u/>
        <sz val="10"/>
        <color rgb="FFFF0000"/>
        <rFont val="游ゴシック"/>
        <family val="3"/>
        <charset val="128"/>
        <scheme val="minor"/>
      </rPr>
      <t>赤表示が全て白表示に変われば入力完了</t>
    </r>
    <r>
      <rPr>
        <b/>
        <sz val="10"/>
        <color theme="1"/>
        <rFont val="游ゴシック"/>
        <family val="3"/>
        <charset val="128"/>
        <scheme val="minor"/>
      </rPr>
      <t>です。
　　→　記載不十分等の箇所はコメント欄を参照ください。
　　こちらで入力した内容はその後に入力いただく各種様式の必要記載部分に反映されます。</t>
    </r>
    <rPh sb="9" eb="11">
      <t>コンカイ</t>
    </rPh>
    <rPh sb="11" eb="13">
      <t>シンセイ</t>
    </rPh>
    <rPh sb="20" eb="22">
      <t>イカ</t>
    </rPh>
    <rPh sb="23" eb="26">
      <t>キニュウラン</t>
    </rPh>
    <rPh sb="27" eb="29">
      <t>ヒツヨウ</t>
    </rPh>
    <rPh sb="29" eb="31">
      <t>ジコウ</t>
    </rPh>
    <rPh sb="32" eb="34">
      <t>ニュウリョク</t>
    </rPh>
    <rPh sb="46" eb="49">
      <t>キニュウラン</t>
    </rPh>
    <rPh sb="49" eb="50">
      <t>ミギ</t>
    </rPh>
    <rPh sb="52" eb="54">
      <t>ハンテイ</t>
    </rPh>
    <rPh sb="56" eb="57">
      <t>スベ</t>
    </rPh>
    <rPh sb="65" eb="66">
      <t>アカ</t>
    </rPh>
    <rPh sb="66" eb="68">
      <t>ヒョウジ</t>
    </rPh>
    <rPh sb="69" eb="70">
      <t>スベ</t>
    </rPh>
    <rPh sb="71" eb="72">
      <t>シロ</t>
    </rPh>
    <rPh sb="72" eb="74">
      <t>ヒョウジ</t>
    </rPh>
    <rPh sb="75" eb="76">
      <t>カ</t>
    </rPh>
    <rPh sb="79" eb="81">
      <t>ニュウリョク</t>
    </rPh>
    <rPh sb="81" eb="83">
      <t>カンリョウ</t>
    </rPh>
    <rPh sb="91" eb="93">
      <t>キサイ</t>
    </rPh>
    <rPh sb="93" eb="96">
      <t>フジュウブン</t>
    </rPh>
    <rPh sb="96" eb="97">
      <t>トウ</t>
    </rPh>
    <rPh sb="98" eb="100">
      <t>カショ</t>
    </rPh>
    <rPh sb="105" eb="106">
      <t>ラン</t>
    </rPh>
    <rPh sb="107" eb="109">
      <t>サンショウ</t>
    </rPh>
    <rPh sb="121" eb="123">
      <t>ニュウリョク</t>
    </rPh>
    <rPh sb="125" eb="127">
      <t>ナイヨウ</t>
    </rPh>
    <rPh sb="130" eb="131">
      <t>ゴ</t>
    </rPh>
    <rPh sb="132" eb="134">
      <t>ニュウリョク</t>
    </rPh>
    <rPh sb="138" eb="140">
      <t>カクシュ</t>
    </rPh>
    <rPh sb="140" eb="142">
      <t>ヨウシキ</t>
    </rPh>
    <rPh sb="143" eb="145">
      <t>ヒツヨウ</t>
    </rPh>
    <rPh sb="145" eb="147">
      <t>キサイ</t>
    </rPh>
    <rPh sb="147" eb="149">
      <t>ブブン</t>
    </rPh>
    <rPh sb="150" eb="152">
      <t>ハンエイ</t>
    </rPh>
    <phoneticPr fontId="1"/>
  </si>
  <si>
    <r>
      <t>２．各種様式の入力について
　　上記「１．はじめに」を入力後、関係の様式に必要情報を入力いただきます。
　　下の表は、それぞれの様式で必要情報が適切に入力されているか否かの表示がされるようにされています。
　　作成にあたっての参考としていただき、</t>
    </r>
    <r>
      <rPr>
        <b/>
        <u/>
        <sz val="10"/>
        <color rgb="FFFF0000"/>
        <rFont val="游ゴシック"/>
        <family val="3"/>
        <charset val="128"/>
        <scheme val="minor"/>
      </rPr>
      <t>提出にあたっては「総合判定」が「○」になっていることを必ず確認</t>
    </r>
    <r>
      <rPr>
        <b/>
        <sz val="10"/>
        <color theme="1"/>
        <rFont val="游ゴシック"/>
        <family val="3"/>
        <charset val="128"/>
        <scheme val="minor"/>
      </rPr>
      <t>してください。</t>
    </r>
    <rPh sb="2" eb="4">
      <t>カクシュ</t>
    </rPh>
    <rPh sb="4" eb="6">
      <t>ヨウシキ</t>
    </rPh>
    <rPh sb="7" eb="9">
      <t>ニュウリョク</t>
    </rPh>
    <rPh sb="16" eb="18">
      <t>ジョウキ</t>
    </rPh>
    <rPh sb="27" eb="29">
      <t>ニュウリョク</t>
    </rPh>
    <rPh sb="29" eb="30">
      <t>ゴ</t>
    </rPh>
    <rPh sb="31" eb="33">
      <t>カンケイ</t>
    </rPh>
    <rPh sb="34" eb="36">
      <t>ヨウシキ</t>
    </rPh>
    <rPh sb="37" eb="39">
      <t>ヒツヨウ</t>
    </rPh>
    <rPh sb="39" eb="41">
      <t>ジョウホウ</t>
    </rPh>
    <rPh sb="42" eb="44">
      <t>ニュウリョク</t>
    </rPh>
    <rPh sb="54" eb="55">
      <t>シタ</t>
    </rPh>
    <rPh sb="56" eb="57">
      <t>ヒョウ</t>
    </rPh>
    <rPh sb="64" eb="66">
      <t>ヨウシキ</t>
    </rPh>
    <rPh sb="67" eb="69">
      <t>ヒツヨウ</t>
    </rPh>
    <rPh sb="69" eb="71">
      <t>ジョウホウ</t>
    </rPh>
    <rPh sb="72" eb="74">
      <t>テキセツ</t>
    </rPh>
    <rPh sb="75" eb="77">
      <t>ニュウリョク</t>
    </rPh>
    <rPh sb="83" eb="84">
      <t>イナ</t>
    </rPh>
    <rPh sb="86" eb="88">
      <t>ヒョウジ</t>
    </rPh>
    <rPh sb="105" eb="107">
      <t>サクセイ</t>
    </rPh>
    <rPh sb="113" eb="115">
      <t>サンコウ</t>
    </rPh>
    <rPh sb="123" eb="125">
      <t>テイシュツ</t>
    </rPh>
    <rPh sb="132" eb="134">
      <t>ソウゴウ</t>
    </rPh>
    <rPh sb="134" eb="136">
      <t>ハンテイ</t>
    </rPh>
    <rPh sb="150" eb="151">
      <t>カナラ</t>
    </rPh>
    <rPh sb="152" eb="154">
      <t>カクニン</t>
    </rPh>
    <phoneticPr fontId="1"/>
  </si>
  <si>
    <t>転記用</t>
    <rPh sb="0" eb="2">
      <t>テンキ</t>
    </rPh>
    <rPh sb="2" eb="3">
      <t>ヨウ</t>
    </rPh>
    <phoneticPr fontId="1"/>
  </si>
  <si>
    <t>―</t>
    <phoneticPr fontId="1"/>
  </si>
  <si>
    <t xml:space="preserve">― </t>
    <phoneticPr fontId="1"/>
  </si>
  <si>
    <t>不備の点</t>
    <rPh sb="0" eb="2">
      <t>フビ</t>
    </rPh>
    <rPh sb="3" eb="4">
      <t>テン</t>
    </rPh>
    <phoneticPr fontId="1"/>
  </si>
  <si>
    <t>申立事項</t>
    <rPh sb="0" eb="2">
      <t>モウシタ</t>
    </rPh>
    <rPh sb="2" eb="4">
      <t>ジコウ</t>
    </rPh>
    <phoneticPr fontId="1"/>
  </si>
  <si>
    <t>空気清浄機・パーテーション・簡易ベッド明細</t>
    <phoneticPr fontId="1"/>
  </si>
  <si>
    <t>総合</t>
    <rPh sb="0" eb="2">
      <t>ソウゴウ</t>
    </rPh>
    <phoneticPr fontId="1"/>
  </si>
  <si>
    <t xml:space="preserve">
本枠内に振込先口座の通帳の表紙見開きの写しを貼り付けしてください。
挙証資料（品目に係る見積書、カタログ等）とともに
愛知県感染症対策課助成グループへ郵送してください。
（封筒余白に「コロナ診療検査補助金交付申請」と朱書すること。）
</t>
    <rPh sb="99" eb="101">
      <t>シンリョウ</t>
    </rPh>
    <rPh sb="101" eb="103">
      <t>ケンサ</t>
    </rPh>
    <phoneticPr fontId="12"/>
  </si>
  <si>
    <t>←交付決定番号に基づき今年度における申請額が表示されます。実際の額と異なる場合は手入力してください。
（「円」は不要。）</t>
    <phoneticPr fontId="1"/>
  </si>
  <si>
    <t>「金額（税込）」が、見積書等（納品書、請求書、領収書など）の記載金額と一致するようにし、表示の「添付資料番号」は資料中、該当の記述箇所に番号を付記すること。
なお、発熱外来診療と直接の関係を有しない経費及び、空気清浄機設置に簡易陰圧テントを含め他の補助品目に分類されるものについては計上しないようにしてください。（必要の際には県から確認させてもらい、真に必要と認める経費を除き交付しないこととする場合があります。また補正を要する際、交付決定までに当該所要の時間が生じることとなりますこと、併せて御理解願います。）</t>
    <rPh sb="82" eb="84">
      <t>ハツネツ</t>
    </rPh>
    <rPh sb="84" eb="86">
      <t>ガイライ</t>
    </rPh>
    <rPh sb="86" eb="88">
      <t>シンリョウ</t>
    </rPh>
    <rPh sb="89" eb="91">
      <t>チョクセツ</t>
    </rPh>
    <rPh sb="92" eb="94">
      <t>カンケイ</t>
    </rPh>
    <rPh sb="95" eb="96">
      <t>ユウ</t>
    </rPh>
    <rPh sb="99" eb="101">
      <t>ケイヒ</t>
    </rPh>
    <rPh sb="101" eb="102">
      <t>オヨ</t>
    </rPh>
    <rPh sb="104" eb="106">
      <t>クウキ</t>
    </rPh>
    <rPh sb="106" eb="108">
      <t>セイジョウ</t>
    </rPh>
    <rPh sb="108" eb="109">
      <t>キ</t>
    </rPh>
    <rPh sb="109" eb="111">
      <t>セッチ</t>
    </rPh>
    <rPh sb="112" eb="114">
      <t>カンイ</t>
    </rPh>
    <rPh sb="114" eb="116">
      <t>インアツ</t>
    </rPh>
    <rPh sb="120" eb="121">
      <t>フク</t>
    </rPh>
    <rPh sb="122" eb="123">
      <t>タ</t>
    </rPh>
    <rPh sb="124" eb="126">
      <t>ホジョ</t>
    </rPh>
    <rPh sb="126" eb="128">
      <t>ヒンモク</t>
    </rPh>
    <rPh sb="129" eb="131">
      <t>ブンルイ</t>
    </rPh>
    <rPh sb="141" eb="143">
      <t>ケイジョウ</t>
    </rPh>
    <rPh sb="157" eb="159">
      <t>ヒツヨウ</t>
    </rPh>
    <rPh sb="160" eb="161">
      <t>サイ</t>
    </rPh>
    <rPh sb="163" eb="164">
      <t>ケン</t>
    </rPh>
    <rPh sb="166" eb="168">
      <t>カクニン</t>
    </rPh>
    <rPh sb="175" eb="176">
      <t>シン</t>
    </rPh>
    <rPh sb="177" eb="179">
      <t>ヒツヨウ</t>
    </rPh>
    <rPh sb="180" eb="181">
      <t>ミト</t>
    </rPh>
    <rPh sb="183" eb="185">
      <t>ケイヒ</t>
    </rPh>
    <rPh sb="186" eb="187">
      <t>ノゾ</t>
    </rPh>
    <rPh sb="188" eb="190">
      <t>コウフ</t>
    </rPh>
    <rPh sb="198" eb="200">
      <t>バアイ</t>
    </rPh>
    <rPh sb="208" eb="210">
      <t>ホセイ</t>
    </rPh>
    <rPh sb="211" eb="212">
      <t>ヨウ</t>
    </rPh>
    <rPh sb="214" eb="215">
      <t>サイ</t>
    </rPh>
    <rPh sb="216" eb="218">
      <t>コウフ</t>
    </rPh>
    <rPh sb="218" eb="220">
      <t>ケッテイ</t>
    </rPh>
    <rPh sb="223" eb="225">
      <t>トウガイ</t>
    </rPh>
    <rPh sb="225" eb="227">
      <t>ショヨウ</t>
    </rPh>
    <rPh sb="228" eb="230">
      <t>ジカン</t>
    </rPh>
    <rPh sb="231" eb="232">
      <t>ショウ</t>
    </rPh>
    <rPh sb="244" eb="245">
      <t>アワ</t>
    </rPh>
    <rPh sb="247" eb="250">
      <t>ゴリカイ</t>
    </rPh>
    <rPh sb="250" eb="251">
      <t>ネガ</t>
    </rPh>
    <phoneticPr fontId="1"/>
  </si>
  <si>
    <t>0005301</t>
  </si>
  <si>
    <t>三菱ＵＦＪ銀行</t>
  </si>
  <si>
    <t>一宮支店</t>
  </si>
  <si>
    <t>1560046</t>
  </si>
  <si>
    <t>碧海信用金庫</t>
  </si>
  <si>
    <t>和泉支店</t>
  </si>
  <si>
    <t>0152036</t>
  </si>
  <si>
    <t>大垣共立銀行</t>
  </si>
  <si>
    <t>勝川支店</t>
  </si>
  <si>
    <t>1559011</t>
  </si>
  <si>
    <t>豊田信用金庫</t>
  </si>
  <si>
    <t>本店営業部</t>
  </si>
  <si>
    <t>0009482</t>
  </si>
  <si>
    <t>三井住友銀行</t>
  </si>
  <si>
    <t>上前津支店</t>
  </si>
  <si>
    <t>0005311</t>
  </si>
  <si>
    <t>東海支店</t>
  </si>
  <si>
    <t>1552096</t>
  </si>
  <si>
    <t>岡崎信用金庫</t>
  </si>
  <si>
    <t>一社支店</t>
  </si>
  <si>
    <t>0155030</t>
  </si>
  <si>
    <t>百五銀行</t>
  </si>
  <si>
    <t>戸田支店</t>
  </si>
  <si>
    <t>0005752</t>
  </si>
  <si>
    <t>植田支店</t>
  </si>
  <si>
    <t>0155035</t>
  </si>
  <si>
    <t>弥富支店</t>
  </si>
  <si>
    <t>0149621</t>
  </si>
  <si>
    <t>静岡銀行</t>
  </si>
  <si>
    <t>豊橋支店</t>
  </si>
  <si>
    <t>1530029</t>
  </si>
  <si>
    <t>岐阜信用金庫</t>
  </si>
  <si>
    <t>八田支店</t>
  </si>
  <si>
    <t>0543130</t>
  </si>
  <si>
    <t>名古屋銀行</t>
  </si>
  <si>
    <t>藤が丘支店</t>
  </si>
  <si>
    <t>香流橋支店</t>
  </si>
  <si>
    <t>0544316</t>
  </si>
  <si>
    <t>中京銀行</t>
  </si>
  <si>
    <t>岩倉支店</t>
  </si>
  <si>
    <t>1560018</t>
  </si>
  <si>
    <t>東郷支店</t>
  </si>
  <si>
    <t>0543283</t>
  </si>
  <si>
    <t>一ツ木支店</t>
  </si>
  <si>
    <t>0153564</t>
  </si>
  <si>
    <t>十六銀行</t>
  </si>
  <si>
    <t>名東支店</t>
  </si>
  <si>
    <t>0005697</t>
  </si>
  <si>
    <t>野並支店</t>
  </si>
  <si>
    <t>1556009</t>
  </si>
  <si>
    <t>知多信用金庫</t>
  </si>
  <si>
    <t>東浦支店</t>
  </si>
  <si>
    <t>0543105</t>
  </si>
  <si>
    <t>桜山支店</t>
  </si>
  <si>
    <t>0001431</t>
  </si>
  <si>
    <t>みずほ銀行</t>
  </si>
  <si>
    <t>名古屋支店</t>
  </si>
  <si>
    <t>0005221</t>
  </si>
  <si>
    <t>名古屋駅前支店</t>
  </si>
  <si>
    <t>0005238</t>
  </si>
  <si>
    <t>小田井支店</t>
  </si>
  <si>
    <t>1553021</t>
  </si>
  <si>
    <t>いちい信用金庫</t>
  </si>
  <si>
    <t>西江南支店</t>
  </si>
  <si>
    <t>0152054</t>
  </si>
  <si>
    <t>安城支店</t>
  </si>
  <si>
    <t>1530053</t>
  </si>
  <si>
    <t>末広支店</t>
  </si>
  <si>
    <t>0544302</t>
  </si>
  <si>
    <t>稲沢支店</t>
  </si>
  <si>
    <t>0155028</t>
  </si>
  <si>
    <t>西春支店</t>
  </si>
  <si>
    <t>0153520</t>
  </si>
  <si>
    <t>江南支店</t>
  </si>
  <si>
    <t>0005237</t>
  </si>
  <si>
    <t>1560008</t>
  </si>
  <si>
    <t>碧南支店</t>
  </si>
  <si>
    <t>0152060</t>
  </si>
  <si>
    <t>鵜沼支店</t>
  </si>
  <si>
    <t>1561011</t>
  </si>
  <si>
    <t>西尾信用金庫</t>
  </si>
  <si>
    <t>1556005</t>
  </si>
  <si>
    <t>乙川支店</t>
  </si>
  <si>
    <t>1552082</t>
  </si>
  <si>
    <t>国府支店</t>
  </si>
  <si>
    <t>0542229</t>
  </si>
  <si>
    <t>愛知銀行</t>
  </si>
  <si>
    <t>高針支店</t>
  </si>
  <si>
    <t>0038105</t>
  </si>
  <si>
    <t>住信ＳＢＩネット銀行</t>
  </si>
  <si>
    <t>リンゴ支店</t>
  </si>
  <si>
    <t>0005268</t>
  </si>
  <si>
    <t>滝子支店</t>
  </si>
  <si>
    <t>0152069</t>
  </si>
  <si>
    <t>西山支店</t>
  </si>
  <si>
    <t>0153551</t>
  </si>
  <si>
    <t>中村支店</t>
  </si>
  <si>
    <t>0155043</t>
  </si>
  <si>
    <t>1560021</t>
  </si>
  <si>
    <t>東刈谷支店</t>
  </si>
  <si>
    <t>0005214</t>
  </si>
  <si>
    <t>瀬戸支店</t>
  </si>
  <si>
    <t>0543139</t>
  </si>
  <si>
    <t>塩釜口支店</t>
  </si>
  <si>
    <t>1557013</t>
  </si>
  <si>
    <t>豊川信用金庫</t>
  </si>
  <si>
    <t>いなり支店</t>
  </si>
  <si>
    <t>0153588</t>
  </si>
  <si>
    <t>赤池支店</t>
  </si>
  <si>
    <t>1552067</t>
  </si>
  <si>
    <t>半田支店</t>
  </si>
  <si>
    <t>1560024</t>
  </si>
  <si>
    <t>高岡支店</t>
  </si>
  <si>
    <t>0005282</t>
  </si>
  <si>
    <t>1552049</t>
  </si>
  <si>
    <t>三好支店</t>
  </si>
  <si>
    <t>0152052</t>
  </si>
  <si>
    <t>内田橋支店</t>
  </si>
  <si>
    <t>0005677</t>
  </si>
  <si>
    <t>笹島支店</t>
  </si>
  <si>
    <t>0005288</t>
  </si>
  <si>
    <t>金山支店</t>
  </si>
  <si>
    <t>0005549</t>
  </si>
  <si>
    <t>新城支店</t>
  </si>
  <si>
    <t>1554054</t>
  </si>
  <si>
    <t>瀬戸信用金庫</t>
  </si>
  <si>
    <t>本地ケ原支店</t>
  </si>
  <si>
    <t>1552051</t>
  </si>
  <si>
    <t>春日井支店</t>
  </si>
  <si>
    <t>0153566</t>
  </si>
  <si>
    <t>0152034</t>
  </si>
  <si>
    <t>1554027</t>
  </si>
  <si>
    <t>猪子石支店</t>
  </si>
  <si>
    <t>0005792</t>
  </si>
  <si>
    <t>0542301</t>
  </si>
  <si>
    <t>0543114</t>
  </si>
  <si>
    <t>枇杷島通支店</t>
  </si>
  <si>
    <t>0153550</t>
  </si>
  <si>
    <t>美和支店</t>
  </si>
  <si>
    <t>0005095</t>
  </si>
  <si>
    <t>平針支店</t>
  </si>
  <si>
    <t>1554032</t>
  </si>
  <si>
    <t>尾張旭支店</t>
  </si>
  <si>
    <t>0155026</t>
  </si>
  <si>
    <t>黒川支店</t>
  </si>
  <si>
    <t>1557003</t>
  </si>
  <si>
    <t>諏訪支店</t>
  </si>
  <si>
    <t>1551002</t>
  </si>
  <si>
    <t>豊橋信用金庫</t>
  </si>
  <si>
    <t>1554003</t>
  </si>
  <si>
    <t>瀬戸東支店</t>
  </si>
  <si>
    <t>0155511</t>
  </si>
  <si>
    <t>久居支店</t>
  </si>
  <si>
    <t>0153569</t>
  </si>
  <si>
    <t>星が丘支店</t>
  </si>
  <si>
    <t>1530024</t>
  </si>
  <si>
    <t>1559028</t>
  </si>
  <si>
    <t>岡崎北支店</t>
  </si>
  <si>
    <t>0153517</t>
  </si>
  <si>
    <t>師勝支店</t>
  </si>
  <si>
    <t>1565018</t>
  </si>
  <si>
    <t>中日信用金庫</t>
  </si>
  <si>
    <t>本店</t>
  </si>
  <si>
    <t>1565003</t>
  </si>
  <si>
    <t>浄心支店</t>
  </si>
  <si>
    <t>1556021</t>
  </si>
  <si>
    <t>1552021</t>
  </si>
  <si>
    <t>高浜支店</t>
  </si>
  <si>
    <t>1559016</t>
  </si>
  <si>
    <t>上郷支店</t>
  </si>
  <si>
    <t>9900208</t>
  </si>
  <si>
    <t>ゆうちょ銀行</t>
  </si>
  <si>
    <t>二〇八</t>
  </si>
  <si>
    <t>0005216</t>
  </si>
  <si>
    <t>0005393</t>
  </si>
  <si>
    <t>0005757</t>
  </si>
  <si>
    <t>高蔵寺支店</t>
  </si>
  <si>
    <t>0005278</t>
  </si>
  <si>
    <t>石川橋支店</t>
  </si>
  <si>
    <t>1530039</t>
  </si>
  <si>
    <t>犬山支店</t>
  </si>
  <si>
    <t>0152043</t>
  </si>
  <si>
    <t>茶屋坂支店</t>
  </si>
  <si>
    <t>0005323</t>
  </si>
  <si>
    <t>小牧支店</t>
  </si>
  <si>
    <t>0542303</t>
  </si>
  <si>
    <t>0152136</t>
  </si>
  <si>
    <t>0153503</t>
  </si>
  <si>
    <t>0543230</t>
  </si>
  <si>
    <t>0005796</t>
  </si>
  <si>
    <t>0005772</t>
  </si>
  <si>
    <t>柴田支店</t>
  </si>
  <si>
    <t>0155037</t>
  </si>
  <si>
    <t>刈谷支店</t>
  </si>
  <si>
    <t>0152088</t>
  </si>
  <si>
    <t>東野支店</t>
  </si>
  <si>
    <t>0009486</t>
  </si>
  <si>
    <t>0005718</t>
  </si>
  <si>
    <t>岡崎駅前支店</t>
  </si>
  <si>
    <t>0036251</t>
  </si>
  <si>
    <t>楽天銀行</t>
  </si>
  <si>
    <t>第一営業支店</t>
  </si>
  <si>
    <t>0153578</t>
  </si>
  <si>
    <t>港支店</t>
  </si>
  <si>
    <t>0152039</t>
  </si>
  <si>
    <t>0005403</t>
  </si>
  <si>
    <t>新名古屋駅前支店</t>
  </si>
  <si>
    <t>0152061</t>
  </si>
  <si>
    <t>守山支店</t>
  </si>
  <si>
    <t>0005217</t>
  </si>
  <si>
    <t>上飯田支店</t>
  </si>
  <si>
    <t>1552083</t>
  </si>
  <si>
    <t>府相支店</t>
  </si>
  <si>
    <t>1552018</t>
  </si>
  <si>
    <t>熱田支店</t>
  </si>
  <si>
    <t>0005413</t>
  </si>
  <si>
    <t>1565012</t>
  </si>
  <si>
    <t>1551009</t>
  </si>
  <si>
    <t>田原支店</t>
  </si>
  <si>
    <t>0542202</t>
  </si>
  <si>
    <t>1566002</t>
  </si>
  <si>
    <t>東春信用金庫</t>
  </si>
  <si>
    <t>0005418</t>
  </si>
  <si>
    <t>0155034</t>
  </si>
  <si>
    <t>1562091</t>
  </si>
  <si>
    <t>蒲郡信用金庫</t>
  </si>
  <si>
    <t>飯村支店</t>
  </si>
  <si>
    <t>1552084</t>
  </si>
  <si>
    <t>1530042</t>
  </si>
  <si>
    <t>楠町支店</t>
  </si>
  <si>
    <t>1530041</t>
  </si>
  <si>
    <t>0543256</t>
  </si>
  <si>
    <t>1560064</t>
  </si>
  <si>
    <t>0152138</t>
  </si>
  <si>
    <t>1553009</t>
  </si>
  <si>
    <t>0009712</t>
  </si>
  <si>
    <t>0005559</t>
  </si>
  <si>
    <t>知多支店</t>
  </si>
  <si>
    <t>0005417</t>
  </si>
  <si>
    <t>新瑞橋支店</t>
  </si>
  <si>
    <t>1551006</t>
  </si>
  <si>
    <t>東支店</t>
  </si>
  <si>
    <t>0543280</t>
  </si>
  <si>
    <t>扶桑支店</t>
  </si>
  <si>
    <t>0010941</t>
  </si>
  <si>
    <t>りそな銀行</t>
  </si>
  <si>
    <t>サンライズ支店</t>
  </si>
  <si>
    <t>1552001</t>
  </si>
  <si>
    <t>1556014</t>
  </si>
  <si>
    <t>上野支店</t>
  </si>
  <si>
    <t>1562048</t>
  </si>
  <si>
    <t>岡崎南支店</t>
  </si>
  <si>
    <t>0543108</t>
  </si>
  <si>
    <t>0005203</t>
  </si>
  <si>
    <t>大津町支店</t>
  </si>
  <si>
    <t>1560011</t>
  </si>
  <si>
    <t>名古屋南支店</t>
  </si>
  <si>
    <t>0153558</t>
  </si>
  <si>
    <t>0543132</t>
  </si>
  <si>
    <t>0005267</t>
  </si>
  <si>
    <t>鶴舞支店</t>
  </si>
  <si>
    <t>1562039</t>
  </si>
  <si>
    <t>鶴ケ浜支店</t>
  </si>
  <si>
    <t>0154440</t>
  </si>
  <si>
    <t>三十三銀行</t>
  </si>
  <si>
    <t>堀田支店</t>
  </si>
  <si>
    <t>0152037</t>
  </si>
  <si>
    <t>1530036</t>
  </si>
  <si>
    <t>平田支店</t>
  </si>
  <si>
    <t>1551015</t>
  </si>
  <si>
    <t>井原支店</t>
  </si>
  <si>
    <t>0005433</t>
  </si>
  <si>
    <t>新橋支店</t>
  </si>
  <si>
    <t>0153560</t>
  </si>
  <si>
    <t>0005660</t>
  </si>
  <si>
    <t>0005830</t>
  </si>
  <si>
    <t>0001492</t>
  </si>
  <si>
    <t>名古屋中央支店</t>
  </si>
  <si>
    <t>0005276</t>
  </si>
  <si>
    <t>星ヶ丘支店</t>
  </si>
  <si>
    <t>0152045</t>
  </si>
  <si>
    <t>高辻支店</t>
  </si>
  <si>
    <t>1557001</t>
  </si>
  <si>
    <t>1552028</t>
  </si>
  <si>
    <t>安田通支店</t>
  </si>
  <si>
    <t>1556024</t>
  </si>
  <si>
    <t>0544112</t>
  </si>
  <si>
    <t>東山支店</t>
  </si>
  <si>
    <t>0542410</t>
  </si>
  <si>
    <t>知立団地出張所</t>
  </si>
  <si>
    <t>1551013</t>
  </si>
  <si>
    <t>南栄支店</t>
  </si>
  <si>
    <t>0005408</t>
  </si>
  <si>
    <t>豊田南支店</t>
  </si>
  <si>
    <t>0005693</t>
  </si>
  <si>
    <t>大曽根支店</t>
  </si>
  <si>
    <t>0152059</t>
  </si>
  <si>
    <t>大府支店</t>
  </si>
  <si>
    <t>0542220</t>
  </si>
  <si>
    <t>松葉町支店</t>
  </si>
  <si>
    <t>0152133</t>
  </si>
  <si>
    <t>1530023</t>
  </si>
  <si>
    <t>0005833</t>
  </si>
  <si>
    <t>一宮東支店</t>
  </si>
  <si>
    <t>0005461</t>
  </si>
  <si>
    <t>1559015</t>
  </si>
  <si>
    <t>高橋支店</t>
  </si>
  <si>
    <t>1562096</t>
  </si>
  <si>
    <t>佐藤町支店</t>
  </si>
  <si>
    <t>0542204</t>
  </si>
  <si>
    <t>新道支店</t>
  </si>
  <si>
    <t>0005273</t>
  </si>
  <si>
    <t>鳴海支店</t>
  </si>
  <si>
    <t>1559021</t>
  </si>
  <si>
    <t>猿投支店</t>
  </si>
  <si>
    <t>1530045</t>
  </si>
  <si>
    <t>清水支店</t>
  </si>
  <si>
    <t>1560016</t>
  </si>
  <si>
    <t>1552093</t>
  </si>
  <si>
    <t>0005894</t>
  </si>
  <si>
    <t>尾張新川支店</t>
  </si>
  <si>
    <t>1552057</t>
  </si>
  <si>
    <t>六名支店</t>
  </si>
  <si>
    <t>0542231</t>
  </si>
  <si>
    <t>島田支店</t>
  </si>
  <si>
    <t>1559031</t>
  </si>
  <si>
    <t>0543272</t>
  </si>
  <si>
    <t>0152064</t>
  </si>
  <si>
    <t>有松支店</t>
  </si>
  <si>
    <t>0542212</t>
  </si>
  <si>
    <t>東郊通支店</t>
  </si>
  <si>
    <t>1560072</t>
  </si>
  <si>
    <t>鳴海東支店</t>
  </si>
  <si>
    <t>0155023</t>
  </si>
  <si>
    <t>6483332</t>
  </si>
  <si>
    <t>愛知西農業協同組合</t>
  </si>
  <si>
    <t>下津支店</t>
  </si>
  <si>
    <t>0005764</t>
  </si>
  <si>
    <t>インターネット支店</t>
  </si>
  <si>
    <t>1552031</t>
  </si>
  <si>
    <t>城北支店</t>
  </si>
  <si>
    <t>0153516</t>
  </si>
  <si>
    <t>0005769</t>
  </si>
  <si>
    <t>0543270</t>
  </si>
  <si>
    <t>1552019</t>
  </si>
  <si>
    <t>尾頭橋支店</t>
  </si>
  <si>
    <t>0005449</t>
  </si>
  <si>
    <t>西尾支店</t>
  </si>
  <si>
    <t>0152121</t>
  </si>
  <si>
    <t>木曽川支店</t>
  </si>
  <si>
    <t>1562071</t>
  </si>
  <si>
    <t>1560050</t>
  </si>
  <si>
    <t>加木屋支店</t>
  </si>
  <si>
    <t>0544319</t>
  </si>
  <si>
    <t>一宮南支店</t>
  </si>
  <si>
    <t>0544335</t>
  </si>
  <si>
    <t>0543233</t>
  </si>
  <si>
    <t>津島支店</t>
  </si>
  <si>
    <t>0543232</t>
  </si>
  <si>
    <t>1553001</t>
  </si>
  <si>
    <t>1554018</t>
  </si>
  <si>
    <t>0154762</t>
  </si>
  <si>
    <t>天白支店</t>
  </si>
  <si>
    <t>1562067</t>
  </si>
  <si>
    <t>鷹丘支店</t>
  </si>
  <si>
    <t>1530057</t>
  </si>
  <si>
    <t>東江南支店</t>
  </si>
  <si>
    <t>1554041</t>
  </si>
  <si>
    <t>川村支店</t>
  </si>
  <si>
    <t>0005266</t>
  </si>
  <si>
    <t>八事支店</t>
  </si>
  <si>
    <t>0155039</t>
  </si>
  <si>
    <t>0005234</t>
  </si>
  <si>
    <t>蟹江支店</t>
  </si>
  <si>
    <t>1562041</t>
  </si>
  <si>
    <t>緑丘支店</t>
  </si>
  <si>
    <t>0153567</t>
  </si>
  <si>
    <t>稲熊支店</t>
  </si>
  <si>
    <t>0543273</t>
  </si>
  <si>
    <t>甚目寺支店</t>
  </si>
  <si>
    <t>0544133</t>
  </si>
  <si>
    <t>0543281</t>
  </si>
  <si>
    <t>羽黒支店</t>
  </si>
  <si>
    <t>0152068</t>
  </si>
  <si>
    <t>長良支店</t>
  </si>
  <si>
    <t>0005704</t>
  </si>
  <si>
    <t>1560013</t>
  </si>
  <si>
    <t>今村支店</t>
  </si>
  <si>
    <t>1560061</t>
  </si>
  <si>
    <t>岩津支店</t>
  </si>
  <si>
    <t>0544318</t>
  </si>
  <si>
    <t>0009408</t>
  </si>
  <si>
    <t>名古屋栄支店</t>
  </si>
  <si>
    <t>1557034</t>
  </si>
  <si>
    <t>新城中央支店</t>
  </si>
  <si>
    <t>0005297</t>
  </si>
  <si>
    <t>高畑支店</t>
  </si>
  <si>
    <t>0005292</t>
  </si>
  <si>
    <t>名古屋港支店</t>
  </si>
  <si>
    <t>0543275</t>
  </si>
  <si>
    <t>愛西支店</t>
  </si>
  <si>
    <t>0005208</t>
  </si>
  <si>
    <t>0153507</t>
  </si>
  <si>
    <t>山口支店</t>
  </si>
  <si>
    <t>0544313</t>
  </si>
  <si>
    <t>1559032</t>
  </si>
  <si>
    <t>三好北支店</t>
  </si>
  <si>
    <t>1557016</t>
  </si>
  <si>
    <t>三ノ輪支店</t>
  </si>
  <si>
    <t>1552013</t>
  </si>
  <si>
    <t>0152044</t>
  </si>
  <si>
    <t>尾西支店</t>
  </si>
  <si>
    <t>0010727</t>
  </si>
  <si>
    <t>今池支店</t>
  </si>
  <si>
    <t>1559064</t>
  </si>
  <si>
    <t>元町支店</t>
  </si>
  <si>
    <t>0010721</t>
  </si>
  <si>
    <t>0005344</t>
  </si>
  <si>
    <t>1553011</t>
  </si>
  <si>
    <t>1559052</t>
  </si>
  <si>
    <t>0542318</t>
  </si>
  <si>
    <t>三郷支店</t>
  </si>
  <si>
    <t>0152110</t>
  </si>
  <si>
    <t>七宝支店</t>
  </si>
  <si>
    <t>0544222</t>
  </si>
  <si>
    <t>0543113</t>
  </si>
  <si>
    <t>0543253</t>
  </si>
  <si>
    <t>0005424</t>
  </si>
  <si>
    <t>0005400</t>
  </si>
  <si>
    <t>0005465</t>
  </si>
  <si>
    <t>蒲郡支店</t>
  </si>
  <si>
    <t>0397400</t>
  </si>
  <si>
    <t>新生銀行</t>
  </si>
  <si>
    <t>1557021</t>
  </si>
  <si>
    <t>音羽支店</t>
  </si>
  <si>
    <t>1553027</t>
  </si>
  <si>
    <t>おりづ支店</t>
  </si>
  <si>
    <t>0005547</t>
  </si>
  <si>
    <t>1530102</t>
  </si>
  <si>
    <t>0149615</t>
  </si>
  <si>
    <t>0005467</t>
  </si>
  <si>
    <t>1553015</t>
  </si>
  <si>
    <t>1552035</t>
  </si>
  <si>
    <t>瑞穂支店</t>
  </si>
  <si>
    <t>1561045</t>
  </si>
  <si>
    <t>成岩支店</t>
  </si>
  <si>
    <t>0005587</t>
  </si>
  <si>
    <t>武豊支店</t>
  </si>
  <si>
    <t>1559022</t>
  </si>
  <si>
    <t>八橋支店</t>
  </si>
  <si>
    <t>1552014</t>
  </si>
  <si>
    <t>豊田支店</t>
  </si>
  <si>
    <t>1554007</t>
  </si>
  <si>
    <t>0153573</t>
  </si>
  <si>
    <t>1517022</t>
  </si>
  <si>
    <t>遠州信用金庫</t>
  </si>
  <si>
    <t>湖西支店</t>
  </si>
  <si>
    <t>1553010</t>
  </si>
  <si>
    <t>0544312</t>
  </si>
  <si>
    <t>0153559</t>
  </si>
  <si>
    <t>0152035</t>
  </si>
  <si>
    <t>0149346</t>
  </si>
  <si>
    <t>有玉支店</t>
  </si>
  <si>
    <t>0005150</t>
  </si>
  <si>
    <t>名古屋営業部</t>
  </si>
  <si>
    <t>1557004</t>
  </si>
  <si>
    <t>0152065</t>
  </si>
  <si>
    <t>岐南支店</t>
  </si>
  <si>
    <t>0005264</t>
  </si>
  <si>
    <t>覚王山支店</t>
  </si>
  <si>
    <t>1560005</t>
  </si>
  <si>
    <t>桜井支店</t>
  </si>
  <si>
    <t>1560038</t>
  </si>
  <si>
    <t>豊明北支店</t>
  </si>
  <si>
    <t>0005401</t>
  </si>
  <si>
    <t>1561050</t>
  </si>
  <si>
    <t>1559018</t>
  </si>
  <si>
    <t>神池支店</t>
  </si>
  <si>
    <t>1530013</t>
  </si>
  <si>
    <t>1552091</t>
  </si>
  <si>
    <t>碧南中央支店</t>
  </si>
  <si>
    <t>0153583</t>
  </si>
  <si>
    <t>岡崎支店</t>
  </si>
  <si>
    <t>0009481</t>
  </si>
  <si>
    <t>0177841</t>
  </si>
  <si>
    <t>福岡銀行</t>
  </si>
  <si>
    <t>0543246</t>
  </si>
  <si>
    <t>0009487</t>
  </si>
  <si>
    <t>0543116</t>
  </si>
  <si>
    <t>1556016</t>
  </si>
  <si>
    <t>青山支店</t>
  </si>
  <si>
    <t>1562062</t>
  </si>
  <si>
    <t>渥美支店</t>
  </si>
  <si>
    <t>向ケ丘支店</t>
  </si>
  <si>
    <t>0543234</t>
  </si>
  <si>
    <t>0009736</t>
  </si>
  <si>
    <t>御器所支店</t>
  </si>
  <si>
    <t>1559065</t>
  </si>
  <si>
    <t>浄水支店</t>
  </si>
  <si>
    <t>0543111</t>
  </si>
  <si>
    <t>1551005</t>
  </si>
  <si>
    <t>二川支店</t>
  </si>
  <si>
    <t>1553025</t>
  </si>
  <si>
    <t>葉栗支店</t>
  </si>
  <si>
    <t>1552065</t>
  </si>
  <si>
    <t>豊田美里支店</t>
  </si>
  <si>
    <t>0543141</t>
  </si>
  <si>
    <t>0542230</t>
  </si>
  <si>
    <t>陣中支店</t>
  </si>
  <si>
    <t>0152150</t>
  </si>
  <si>
    <t>0152062</t>
  </si>
  <si>
    <t>0005305</t>
  </si>
  <si>
    <t>常滑支店</t>
  </si>
  <si>
    <t>1552062</t>
  </si>
  <si>
    <t>幸田支店</t>
  </si>
  <si>
    <t>1553002</t>
  </si>
  <si>
    <t>神明津支店</t>
  </si>
  <si>
    <t>1552030</t>
  </si>
  <si>
    <t>代官町支店</t>
  </si>
  <si>
    <t>0005740</t>
  </si>
  <si>
    <t>1562064</t>
  </si>
  <si>
    <t>豊川北支店</t>
  </si>
  <si>
    <t>0153509</t>
  </si>
  <si>
    <t>0152132</t>
  </si>
  <si>
    <t>1552086</t>
  </si>
  <si>
    <t>高浜東支店</t>
  </si>
  <si>
    <t>1552100</t>
  </si>
  <si>
    <t>1533020</t>
  </si>
  <si>
    <t>東濃信用金庫</t>
  </si>
  <si>
    <t>0288560</t>
  </si>
  <si>
    <t>三菱ＵＦＪ信託銀行</t>
  </si>
  <si>
    <t>0152053</t>
  </si>
  <si>
    <t>0153513</t>
  </si>
  <si>
    <t>1552087</t>
  </si>
  <si>
    <t>1530051</t>
  </si>
  <si>
    <t>0544131</t>
  </si>
  <si>
    <t>0152127</t>
  </si>
  <si>
    <t>0153518</t>
  </si>
  <si>
    <t>0005686</t>
  </si>
  <si>
    <t>徳重支店</t>
  </si>
  <si>
    <t>0005745</t>
  </si>
  <si>
    <t>日進支店</t>
  </si>
  <si>
    <t>1554030</t>
  </si>
  <si>
    <t>菱野支店</t>
  </si>
  <si>
    <t>1556035</t>
  </si>
  <si>
    <t>0005519</t>
  </si>
  <si>
    <t>田口特別出張所</t>
  </si>
  <si>
    <t>1560054</t>
  </si>
  <si>
    <t>東境支店</t>
  </si>
  <si>
    <t>0153505</t>
  </si>
  <si>
    <t>0544323</t>
  </si>
  <si>
    <t>1554035</t>
  </si>
  <si>
    <t>0153545</t>
  </si>
  <si>
    <t>1553003</t>
  </si>
  <si>
    <t>1560017</t>
  </si>
  <si>
    <t>みよし支店</t>
  </si>
  <si>
    <t>0153506</t>
  </si>
  <si>
    <t>0152154</t>
  </si>
  <si>
    <t>ながくて支店</t>
  </si>
  <si>
    <t>0005591</t>
  </si>
  <si>
    <t>多摩センター支店</t>
  </si>
  <si>
    <t>1565005</t>
  </si>
  <si>
    <t>矢田支店</t>
  </si>
  <si>
    <t>0152102</t>
  </si>
  <si>
    <t>1552006</t>
  </si>
  <si>
    <t>井田支店</t>
  </si>
  <si>
    <t>1552038</t>
  </si>
  <si>
    <t>1561026</t>
  </si>
  <si>
    <t>1552037</t>
  </si>
  <si>
    <t>1562065</t>
  </si>
  <si>
    <t>小坂井支店</t>
  </si>
  <si>
    <t>0005213</t>
  </si>
  <si>
    <t>0542222</t>
  </si>
  <si>
    <t>0153519</t>
  </si>
  <si>
    <t>1559030</t>
  </si>
  <si>
    <t>刈谷北支店</t>
  </si>
  <si>
    <t>0153116</t>
  </si>
  <si>
    <t>0544171</t>
  </si>
  <si>
    <t>0542310</t>
  </si>
  <si>
    <t>1552026</t>
  </si>
  <si>
    <t>1560042</t>
  </si>
  <si>
    <t>1556001</t>
  </si>
  <si>
    <t>栄町支店</t>
  </si>
  <si>
    <t>1563015</t>
  </si>
  <si>
    <t>尾西信用金庫</t>
  </si>
  <si>
    <t>西成支店</t>
  </si>
  <si>
    <t>1552007</t>
  </si>
  <si>
    <t>美合支店</t>
  </si>
  <si>
    <t>0005784</t>
  </si>
  <si>
    <t>有松出張所</t>
  </si>
  <si>
    <t>1554059</t>
  </si>
  <si>
    <t>田代支店</t>
  </si>
  <si>
    <t>0542201</t>
  </si>
  <si>
    <t>1530089</t>
  </si>
  <si>
    <t>0153581</t>
  </si>
  <si>
    <t>0153553</t>
  </si>
  <si>
    <t>0009402</t>
  </si>
  <si>
    <t>1553121</t>
  </si>
  <si>
    <t>江東支店</t>
  </si>
  <si>
    <t>0009734</t>
  </si>
  <si>
    <t>天白植田支店</t>
  </si>
  <si>
    <t>0544134</t>
  </si>
  <si>
    <t>1563001</t>
  </si>
  <si>
    <t>0005235</t>
  </si>
  <si>
    <t>中村公園前支店</t>
  </si>
  <si>
    <t>1530049</t>
  </si>
  <si>
    <t>0542216</t>
  </si>
  <si>
    <t>0543255</t>
  </si>
  <si>
    <t>0152130</t>
  </si>
  <si>
    <t>1552009</t>
  </si>
  <si>
    <t>矢作支店</t>
  </si>
  <si>
    <t>0544103</t>
  </si>
  <si>
    <t>大津橋支店</t>
  </si>
  <si>
    <t>1553007</t>
  </si>
  <si>
    <t>奥町支店</t>
  </si>
  <si>
    <t>1552033</t>
  </si>
  <si>
    <t>1560070</t>
  </si>
  <si>
    <t>0001454</t>
  </si>
  <si>
    <t>1560073</t>
  </si>
  <si>
    <t>知立南支店</t>
  </si>
  <si>
    <t>1557022</t>
  </si>
  <si>
    <t>蔵子支店</t>
  </si>
  <si>
    <t>0005306</t>
  </si>
  <si>
    <t>1559025</t>
  </si>
  <si>
    <t>保見支店</t>
  </si>
  <si>
    <t>1554050</t>
  </si>
  <si>
    <t>1530101</t>
  </si>
  <si>
    <t>1560006</t>
  </si>
  <si>
    <t>0543266</t>
  </si>
  <si>
    <t>長久手支店</t>
  </si>
  <si>
    <t>1552008</t>
  </si>
  <si>
    <t>1560035</t>
  </si>
  <si>
    <t>1554062</t>
  </si>
  <si>
    <t>印場支店</t>
  </si>
  <si>
    <t>0542205</t>
  </si>
  <si>
    <t>1552004</t>
  </si>
  <si>
    <t>中央支店</t>
  </si>
  <si>
    <t>1557029</t>
  </si>
  <si>
    <t>豊支店</t>
  </si>
  <si>
    <t>0154432</t>
  </si>
  <si>
    <t>0154415</t>
  </si>
  <si>
    <t>広路支店</t>
  </si>
  <si>
    <t>0009733</t>
  </si>
  <si>
    <t>6430103</t>
  </si>
  <si>
    <t>鳴尾支店</t>
  </si>
  <si>
    <t>1553077</t>
  </si>
  <si>
    <t>津島営業部</t>
  </si>
  <si>
    <t>事業完了（予定）日</t>
    <phoneticPr fontId="1"/>
  </si>
  <si>
    <t>普通</t>
  </si>
  <si>
    <t>当座</t>
  </si>
  <si>
    <t>４感対第〇〇〇〇－</t>
    <rPh sb="1" eb="2">
      <t>カン</t>
    </rPh>
    <rPh sb="2" eb="3">
      <t>タイ</t>
    </rPh>
    <rPh sb="3" eb="4">
      <t>ダイ</t>
    </rPh>
    <phoneticPr fontId="1"/>
  </si>
  <si>
    <t>茶屋坂</t>
  </si>
  <si>
    <t>三菱UFJ銀行</t>
  </si>
  <si>
    <t>なごや農業協同</t>
  </si>
  <si>
    <t>6503024</t>
  </si>
  <si>
    <t>海部東農業協同組合</t>
  </si>
  <si>
    <t>0005694</t>
  </si>
  <si>
    <t>笠寺支店</t>
  </si>
  <si>
    <t>1554074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</si>
</sst>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176" formatCode="#,##0_);[Red]\(#,##0\)"/>
    <numFmt numFmtId="177" formatCode="[$-411]ggge&quot;年&quot;m&quot;月&quot;d&quot;日&quot;;@"/>
    <numFmt numFmtId="178" formatCode="#,##0&quot;円&quot;;[Red]\(#,##0\)&quot;円&quot;"/>
    <numFmt numFmtId="179" formatCode="#,##0&quot;円&quot;"/>
    <numFmt numFmtId="180" formatCode="#,##0&quot;台&quot;"/>
    <numFmt numFmtId="181" formatCode="#,##0&quot;式&quot;"/>
    <numFmt numFmtId="182" formatCode="#,##0&quot;日&quot;"/>
    <numFmt numFmtId="183" formatCode="#,##0&quot;人&quot;"/>
    <numFmt numFmtId="184" formatCode="&quot;延&quot;&quot;べ&quot;#,##0&quot;人&quot;"/>
    <numFmt numFmtId="185" formatCode="&quot;金&quot;#,##0&quot;円&quot;"/>
    <numFmt numFmtId="186" formatCode="&quot;金&quot;#,##0&quot;円&quot;\ "/>
    <numFmt numFmtId="187" formatCode="#,##0&quot;円&quot;\ "/>
    <numFmt numFmtId="188" formatCode="&quot;金&quot;#,##0&quot;円&quot;;&quot;△ &quot;&quot;金&quot;#,##0&quot;円&quot;"/>
    <numFmt numFmtId="189" formatCode="#,##0&quot;施設&quot;"/>
    <numFmt numFmtId="190" formatCode="#,##0&quot;行&quot;&quot;目&quot;"/>
    <numFmt numFmtId="191" formatCode="\4&quot;感&quot;&quot;対&quot;&quot;第1411－&quot;0&quot;号&quot;\ "/>
    <numFmt numFmtId="192" formatCode="0_);[Red]\(0\)"/>
    <numFmt numFmtId="193" formatCode="&quot;診&quot;&quot;検&quot;&quot;第&quot;0&quot;号&quot;\ "/>
    <numFmt numFmtId="194" formatCode="\(#,##0&quot;円&quot;\)"/>
    <numFmt numFmtId="195" formatCode="&quot;診&quot;&quot;検&quot;&quot;第&quot;0&quot;号&quot;"/>
    <numFmt numFmtId="196" formatCode="yyyy/mm/dd"/>
    <numFmt numFmtId="197" formatCode="[$-411]ge\.m\.d;@"/>
    <numFmt numFmtId="198" formatCode="#,##0.00&quot;円&quot;"/>
    <numFmt numFmtId="199" formatCode="#,##0_ "/>
    <numFmt numFmtId="200" formatCode="#,##0.0&quot;枚&quot;"/>
    <numFmt numFmtId="201" formatCode="#,##0.0&quot;個&quot;"/>
    <numFmt numFmtId="202" formatCode="#,##0.0&quot;着&quot;"/>
    <numFmt numFmtId="203" formatCode="#,##0.0&quot;双&quot;"/>
    <numFmt numFmtId="204" formatCode="0_ "/>
    <numFmt numFmtId="205" formatCode="&quot;【&quot;#,##0&quot;円&quot;&quot;】&quot;"/>
  </numFmts>
  <fonts count="57"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name val="ＭＳ Ｐゴシック"/>
      <family val="3"/>
      <charset val="128"/>
    </font>
    <font>
      <sz val="6"/>
      <name val="ＭＳ Ｐゴシック"/>
      <family val="3"/>
      <charset val="128"/>
    </font>
    <font>
      <sz val="11"/>
      <color theme="1"/>
      <name val="游ゴシック"/>
      <family val="2"/>
      <charset val="128"/>
      <scheme val="minor"/>
    </font>
    <font>
      <sz val="11"/>
      <color theme="1"/>
      <name val="游ゴシック"/>
      <family val="3"/>
      <charset val="128"/>
      <scheme val="minor"/>
    </font>
    <font>
      <b/>
      <sz val="11"/>
      <color theme="1"/>
      <name val="游ゴシック"/>
      <family val="3"/>
      <charset val="128"/>
      <scheme val="minor"/>
    </font>
    <font>
      <b/>
      <sz val="10"/>
      <color theme="1"/>
      <name val="游ゴシック"/>
      <family val="3"/>
      <charset val="128"/>
      <scheme val="minor"/>
    </font>
    <font>
      <b/>
      <sz val="12"/>
      <color theme="1"/>
      <name val="游ゴシック"/>
      <family val="3"/>
      <charset val="128"/>
      <scheme val="minor"/>
    </font>
    <font>
      <b/>
      <sz val="11"/>
      <color rgb="FFFF0000"/>
      <name val="游ゴシック"/>
      <family val="3"/>
      <charset val="128"/>
      <scheme val="minor"/>
    </font>
    <font>
      <b/>
      <sz val="12"/>
      <color rgb="FFFF0000"/>
      <name val="游ゴシック"/>
      <family val="3"/>
      <charset val="128"/>
      <scheme val="minor"/>
    </font>
    <font>
      <sz val="6"/>
      <name val="游ゴシック"/>
      <family val="3"/>
      <charset val="128"/>
      <scheme val="minor"/>
    </font>
    <font>
      <sz val="14"/>
      <color theme="1"/>
      <name val="游ゴシック"/>
      <family val="3"/>
      <charset val="128"/>
      <scheme val="minor"/>
    </font>
    <font>
      <b/>
      <sz val="14"/>
      <color rgb="FFFF0000"/>
      <name val="游ゴシック"/>
      <family val="3"/>
      <charset val="128"/>
      <scheme val="minor"/>
    </font>
    <font>
      <b/>
      <u val="double"/>
      <sz val="14"/>
      <color rgb="FFFF0000"/>
      <name val="游ゴシック"/>
      <family val="3"/>
      <charset val="128"/>
      <scheme val="minor"/>
    </font>
    <font>
      <b/>
      <sz val="12"/>
      <name val="游ゴシック"/>
      <family val="3"/>
      <charset val="128"/>
      <scheme val="minor"/>
    </font>
    <font>
      <b/>
      <sz val="14"/>
      <color theme="1"/>
      <name val="游ゴシック"/>
      <family val="3"/>
      <charset val="128"/>
      <scheme val="minor"/>
    </font>
    <font>
      <b/>
      <sz val="16"/>
      <color theme="1"/>
      <name val="游ゴシック"/>
      <family val="3"/>
      <charset val="128"/>
      <scheme val="minor"/>
    </font>
    <font>
      <b/>
      <sz val="6"/>
      <color theme="1"/>
      <name val="游ゴシック"/>
      <family val="3"/>
      <charset val="128"/>
      <scheme val="minor"/>
    </font>
    <font>
      <b/>
      <sz val="18"/>
      <color theme="1"/>
      <name val="游ゴシック"/>
      <family val="3"/>
      <charset val="128"/>
      <scheme val="minor"/>
    </font>
    <font>
      <b/>
      <sz val="11"/>
      <name val="游ゴシック"/>
      <family val="3"/>
      <charset val="128"/>
      <scheme val="minor"/>
    </font>
    <font>
      <b/>
      <sz val="14"/>
      <name val="游ゴシック"/>
      <family val="3"/>
      <charset val="128"/>
      <scheme val="minor"/>
    </font>
    <font>
      <b/>
      <sz val="10.5"/>
      <name val="游ゴシック"/>
      <family val="3"/>
      <charset val="128"/>
      <scheme val="minor"/>
    </font>
    <font>
      <sz val="9"/>
      <color rgb="FFFF0000"/>
      <name val="游ゴシック"/>
      <family val="3"/>
      <charset val="128"/>
      <scheme val="minor"/>
    </font>
    <font>
      <b/>
      <u/>
      <sz val="11"/>
      <color theme="10"/>
      <name val="游ゴシック"/>
      <family val="3"/>
      <charset val="128"/>
      <scheme val="minor"/>
    </font>
    <font>
      <b/>
      <sz val="9"/>
      <color rgb="FFFFFF00"/>
      <name val="游ゴシック"/>
      <family val="3"/>
      <charset val="128"/>
      <scheme val="minor"/>
    </font>
    <font>
      <b/>
      <sz val="11"/>
      <color rgb="FFFFFF00"/>
      <name val="游ゴシック"/>
      <family val="3"/>
      <charset val="128"/>
      <scheme val="minor"/>
    </font>
    <font>
      <b/>
      <sz val="11"/>
      <color rgb="FF444444"/>
      <name val="游ゴシック"/>
      <family val="3"/>
      <charset val="128"/>
      <scheme val="minor"/>
    </font>
    <font>
      <sz val="10"/>
      <color theme="1"/>
      <name val="游ゴシック"/>
      <family val="3"/>
      <charset val="128"/>
      <scheme val="minor"/>
    </font>
    <font>
      <b/>
      <sz val="9"/>
      <color theme="1"/>
      <name val="游ゴシック"/>
      <family val="3"/>
      <charset val="128"/>
      <scheme val="minor"/>
    </font>
    <font>
      <b/>
      <sz val="10"/>
      <name val="游ゴシック"/>
      <family val="3"/>
      <charset val="128"/>
      <scheme val="minor"/>
    </font>
    <font>
      <b/>
      <sz val="10"/>
      <color rgb="FFFF0000"/>
      <name val="游ゴシック"/>
      <family val="3"/>
      <charset val="128"/>
      <scheme val="minor"/>
    </font>
    <font>
      <sz val="10"/>
      <color rgb="FFFF0000"/>
      <name val="游ゴシック"/>
      <family val="3"/>
      <charset val="128"/>
      <scheme val="minor"/>
    </font>
    <font>
      <sz val="10"/>
      <color theme="1"/>
      <name val="Segoe UI Symbol"/>
      <family val="3"/>
    </font>
    <font>
      <b/>
      <sz val="11"/>
      <color theme="1"/>
      <name val="Segoe UI Symbol"/>
      <family val="2"/>
    </font>
    <font>
      <sz val="12"/>
      <color theme="1"/>
      <name val="游ゴシック"/>
      <family val="3"/>
      <charset val="128"/>
      <scheme val="minor"/>
    </font>
    <font>
      <sz val="16"/>
      <color theme="1"/>
      <name val="游ゴシック"/>
      <family val="3"/>
      <charset val="128"/>
      <scheme val="minor"/>
    </font>
    <font>
      <sz val="11"/>
      <color rgb="FF006100"/>
      <name val="游ゴシック"/>
      <family val="2"/>
      <charset val="128"/>
      <scheme val="minor"/>
    </font>
    <font>
      <sz val="11"/>
      <color theme="1"/>
      <name val="游ゴシック"/>
      <family val="2"/>
      <scheme val="minor"/>
    </font>
    <font>
      <b/>
      <sz val="22"/>
      <color theme="1"/>
      <name val="游ゴシック"/>
      <family val="3"/>
      <charset val="128"/>
      <scheme val="minor"/>
    </font>
    <font>
      <sz val="22"/>
      <color theme="1"/>
      <name val="游ゴシック"/>
      <family val="3"/>
      <charset val="128"/>
      <scheme val="minor"/>
    </font>
    <font>
      <b/>
      <sz val="36"/>
      <color theme="1"/>
      <name val="游ゴシック"/>
      <family val="3"/>
      <charset val="128"/>
      <scheme val="minor"/>
    </font>
    <font>
      <sz val="36"/>
      <color theme="1"/>
      <name val="游ゴシック"/>
      <family val="3"/>
      <charset val="128"/>
      <scheme val="minor"/>
    </font>
    <font>
      <b/>
      <sz val="6"/>
      <color rgb="FFFF0000"/>
      <name val="游ゴシック"/>
      <family val="3"/>
      <charset val="128"/>
      <scheme val="minor"/>
    </font>
    <font>
      <b/>
      <sz val="9"/>
      <name val="游ゴシック"/>
      <family val="3"/>
      <charset val="128"/>
      <scheme val="minor"/>
    </font>
    <font>
      <sz val="11"/>
      <name val="游ゴシック"/>
      <family val="3"/>
      <charset val="128"/>
      <scheme val="minor"/>
    </font>
    <font>
      <sz val="18"/>
      <color theme="1"/>
      <name val="游ゴシック"/>
      <family val="3"/>
      <charset val="128"/>
      <scheme val="minor"/>
    </font>
    <font>
      <b/>
      <u/>
      <sz val="11"/>
      <color theme="1"/>
      <name val="游ゴシック"/>
      <family val="3"/>
      <charset val="128"/>
      <scheme val="minor"/>
    </font>
    <font>
      <sz val="11"/>
      <color rgb="FFFF0000"/>
      <name val="游ゴシック"/>
      <family val="3"/>
      <charset val="128"/>
      <scheme val="minor"/>
    </font>
    <font>
      <sz val="9"/>
      <color theme="1"/>
      <name val="游ゴシック"/>
      <family val="3"/>
      <charset val="128"/>
      <scheme val="minor"/>
    </font>
    <font>
      <b/>
      <u/>
      <sz val="10"/>
      <color rgb="FFFF0000"/>
      <name val="游ゴシック"/>
      <family val="3"/>
      <charset val="128"/>
      <scheme val="minor"/>
    </font>
    <font>
      <sz val="10"/>
      <color theme="1"/>
      <name val="游ゴシック"/>
      <family val="2"/>
      <charset val="128"/>
      <scheme val="minor"/>
    </font>
    <font>
      <u/>
      <sz val="11"/>
      <color theme="10"/>
      <name val="游ゴシック"/>
      <family val="2"/>
      <scheme val="minor"/>
    </font>
    <font>
      <sz val="11"/>
      <color theme="1"/>
      <name val="ＭＳ Ｐゴシック"/>
      <family val="2"/>
      <charset val="128"/>
    </font>
    <font>
      <sz val="11"/>
      <name val="ＭＳ Ｐゴシック"/>
      <family val="3"/>
    </font>
    <font>
      <b/>
      <sz val="8"/>
      <color theme="1"/>
      <name val="游ゴシック"/>
      <family val="3"/>
      <charset val="128"/>
      <scheme val="minor"/>
    </font>
  </fonts>
  <fills count="11">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rgb="FFFFFF99"/>
        <bgColor indexed="64"/>
      </patternFill>
    </fill>
    <fill>
      <patternFill patternType="solid">
        <fgColor theme="6"/>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top style="medium">
        <color auto="1"/>
      </top>
      <bottom/>
      <diagonal/>
    </border>
    <border>
      <left/>
      <right style="medium">
        <color indexed="64"/>
      </right>
      <top style="medium">
        <color indexed="64"/>
      </top>
      <bottom/>
      <diagonal/>
    </border>
    <border>
      <left style="medium">
        <color auto="1"/>
      </left>
      <right/>
      <top/>
      <bottom/>
      <diagonal/>
    </border>
    <border>
      <left/>
      <right style="medium">
        <color auto="1"/>
      </right>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diagonal/>
    </border>
    <border>
      <left/>
      <right/>
      <top/>
      <bottom style="hair">
        <color auto="1"/>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dashed">
        <color auto="1"/>
      </left>
      <right/>
      <top/>
      <bottom/>
      <diagonal/>
    </border>
    <border>
      <left/>
      <right style="dashed">
        <color auto="1"/>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9">
    <xf numFmtId="0" fontId="0" fillId="0" borderId="0">
      <alignment vertical="center"/>
    </xf>
    <xf numFmtId="0" fontId="2" fillId="0" borderId="0" applyNumberForma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xf numFmtId="38" fontId="5" fillId="0" borderId="0" applyFont="0" applyFill="0" applyBorder="0" applyAlignment="0" applyProtection="0">
      <alignment vertical="center"/>
    </xf>
    <xf numFmtId="0" fontId="39" fillId="0" borderId="0"/>
    <xf numFmtId="38" fontId="39" fillId="0" borderId="0" applyFont="0" applyFill="0" applyBorder="0" applyAlignment="0" applyProtection="0">
      <alignment vertical="center"/>
    </xf>
    <xf numFmtId="0" fontId="53" fillId="0" borderId="0" applyNumberFormat="0" applyFill="0" applyBorder="0" applyAlignment="0" applyProtection="0"/>
    <xf numFmtId="0" fontId="5" fillId="0" borderId="0">
      <alignment vertical="center"/>
    </xf>
    <xf numFmtId="0" fontId="39" fillId="0" borderId="0"/>
    <xf numFmtId="0" fontId="5" fillId="0" borderId="0">
      <alignment vertical="center"/>
    </xf>
    <xf numFmtId="0" fontId="54" fillId="0" borderId="0">
      <alignment vertical="center"/>
    </xf>
    <xf numFmtId="0" fontId="3" fillId="0" borderId="0">
      <alignment vertical="center"/>
    </xf>
    <xf numFmtId="0" fontId="54" fillId="0" borderId="0">
      <alignment vertical="center"/>
    </xf>
    <xf numFmtId="0" fontId="55" fillId="0" borderId="0">
      <alignment vertical="center"/>
    </xf>
    <xf numFmtId="0" fontId="54" fillId="0" borderId="0">
      <alignment vertical="center"/>
    </xf>
    <xf numFmtId="0" fontId="2" fillId="0" borderId="0" applyNumberFormat="0" applyFill="0" applyBorder="0" applyAlignment="0" applyProtection="0">
      <alignment vertical="center"/>
    </xf>
    <xf numFmtId="0" fontId="5" fillId="0" borderId="0">
      <alignment vertical="center"/>
    </xf>
  </cellStyleXfs>
  <cellXfs count="892">
    <xf numFmtId="0" fontId="0" fillId="0" borderId="0" xfId="0">
      <alignment vertical="center"/>
    </xf>
    <xf numFmtId="0" fontId="7" fillId="0" borderId="0" xfId="0" applyFont="1">
      <alignment vertical="center"/>
    </xf>
    <xf numFmtId="0" fontId="7" fillId="0" borderId="0" xfId="0" applyFont="1" applyBorder="1">
      <alignment vertical="center"/>
    </xf>
    <xf numFmtId="3" fontId="23" fillId="0" borderId="0" xfId="2" applyNumberFormat="1" applyFont="1" applyAlignment="1">
      <alignment horizontal="right" vertical="center"/>
    </xf>
    <xf numFmtId="0" fontId="23" fillId="0" borderId="0" xfId="2" applyFont="1" applyAlignment="1">
      <alignment horizontal="right" vertical="center"/>
    </xf>
    <xf numFmtId="0" fontId="21" fillId="0" borderId="0" xfId="2" applyFont="1" applyAlignment="1">
      <alignment vertical="center"/>
    </xf>
    <xf numFmtId="3" fontId="23" fillId="0" borderId="0" xfId="2" applyNumberFormat="1" applyFont="1" applyAlignment="1">
      <alignment vertical="center"/>
    </xf>
    <xf numFmtId="3" fontId="21" fillId="0" borderId="0" xfId="2" applyNumberFormat="1" applyFont="1" applyAlignment="1">
      <alignment vertical="center"/>
    </xf>
    <xf numFmtId="0" fontId="9" fillId="0" borderId="0" xfId="0" applyFont="1" applyProtection="1">
      <alignment vertical="center"/>
    </xf>
    <xf numFmtId="0" fontId="9" fillId="0" borderId="1" xfId="0" applyFont="1" applyBorder="1" applyAlignment="1" applyProtection="1">
      <alignment horizontal="center" vertical="center" shrinkToFit="1"/>
    </xf>
    <xf numFmtId="0" fontId="9" fillId="0" borderId="1" xfId="0" applyFont="1" applyBorder="1" applyAlignment="1" applyProtection="1">
      <alignment horizontal="center" vertical="center"/>
    </xf>
    <xf numFmtId="0" fontId="17" fillId="0" borderId="0" xfId="0" applyFont="1" applyProtection="1">
      <alignment vertical="center"/>
    </xf>
    <xf numFmtId="0" fontId="17" fillId="0" borderId="0" xfId="0" applyFont="1" applyAlignment="1" applyProtection="1">
      <alignment horizontal="center" vertical="center"/>
    </xf>
    <xf numFmtId="0" fontId="17" fillId="0" borderId="0" xfId="0" applyFont="1" applyAlignment="1" applyProtection="1">
      <alignment horizontal="center" vertical="center" shrinkToFit="1"/>
    </xf>
    <xf numFmtId="0" fontId="17" fillId="0" borderId="0" xfId="0" applyFont="1" applyAlignment="1" applyProtection="1">
      <alignment horizontal="left" vertical="center"/>
    </xf>
    <xf numFmtId="3" fontId="17" fillId="0" borderId="0" xfId="0" applyNumberFormat="1" applyFont="1" applyBorder="1" applyProtection="1">
      <alignment vertical="center"/>
    </xf>
    <xf numFmtId="0" fontId="17" fillId="0" borderId="0" xfId="0" applyFont="1" applyBorder="1" applyProtection="1">
      <alignment vertical="center"/>
    </xf>
    <xf numFmtId="3" fontId="17" fillId="0" borderId="0" xfId="0" applyNumberFormat="1" applyFont="1" applyProtection="1">
      <alignment vertical="center"/>
    </xf>
    <xf numFmtId="0" fontId="17" fillId="0" borderId="3" xfId="0" applyFont="1" applyBorder="1" applyAlignment="1" applyProtection="1">
      <alignment horizontal="center" vertical="center"/>
    </xf>
    <xf numFmtId="0" fontId="17" fillId="0" borderId="3" xfId="0" applyFont="1" applyBorder="1" applyAlignment="1" applyProtection="1">
      <alignment horizontal="right" vertical="center"/>
    </xf>
    <xf numFmtId="0" fontId="17" fillId="0" borderId="3" xfId="0" applyFont="1" applyBorder="1" applyAlignment="1" applyProtection="1">
      <alignment horizontal="right" vertical="center" wrapText="1"/>
    </xf>
    <xf numFmtId="179" fontId="17" fillId="0" borderId="14" xfId="0" applyNumberFormat="1" applyFont="1" applyBorder="1" applyAlignment="1" applyProtection="1">
      <alignment vertical="center" shrinkToFit="1"/>
    </xf>
    <xf numFmtId="179" fontId="17" fillId="0" borderId="22" xfId="0" applyNumberFormat="1" applyFont="1" applyBorder="1" applyAlignment="1" applyProtection="1">
      <alignment horizontal="center" vertical="center" shrinkToFit="1"/>
    </xf>
    <xf numFmtId="179" fontId="17" fillId="0" borderId="23" xfId="0" applyNumberFormat="1" applyFont="1" applyBorder="1" applyAlignment="1" applyProtection="1">
      <alignment horizontal="center" vertical="center" shrinkToFit="1"/>
    </xf>
    <xf numFmtId="179" fontId="17" fillId="0" borderId="24" xfId="0" applyNumberFormat="1" applyFont="1" applyBorder="1" applyAlignment="1" applyProtection="1">
      <alignment horizontal="center" vertical="center" shrinkToFit="1"/>
    </xf>
    <xf numFmtId="14" fontId="17" fillId="0" borderId="0" xfId="0" applyNumberFormat="1" applyFont="1" applyBorder="1" applyProtection="1">
      <alignment vertical="center"/>
    </xf>
    <xf numFmtId="180" fontId="17" fillId="0" borderId="17" xfId="0" applyNumberFormat="1" applyFont="1" applyFill="1" applyBorder="1" applyAlignment="1" applyProtection="1">
      <alignment vertical="center" wrapText="1"/>
    </xf>
    <xf numFmtId="179" fontId="17" fillId="0" borderId="17" xfId="0" applyNumberFormat="1" applyFont="1" applyBorder="1" applyAlignment="1" applyProtection="1">
      <alignment vertical="center" shrinkToFit="1"/>
    </xf>
    <xf numFmtId="0" fontId="17" fillId="0" borderId="17" xfId="0" applyFont="1" applyBorder="1" applyAlignment="1" applyProtection="1">
      <alignment horizontal="center" vertical="center" wrapText="1"/>
    </xf>
    <xf numFmtId="179" fontId="17" fillId="0" borderId="25" xfId="0" applyNumberFormat="1" applyFont="1" applyBorder="1" applyAlignment="1" applyProtection="1">
      <alignment horizontal="center" vertical="center" shrinkToFit="1"/>
    </xf>
    <xf numFmtId="179" fontId="17" fillId="0" borderId="26" xfId="0" applyNumberFormat="1" applyFont="1" applyBorder="1" applyAlignment="1" applyProtection="1">
      <alignment horizontal="center" vertical="center" shrinkToFit="1"/>
    </xf>
    <xf numFmtId="179" fontId="17" fillId="0" borderId="27" xfId="0" applyNumberFormat="1" applyFont="1" applyBorder="1" applyAlignment="1" applyProtection="1">
      <alignment horizontal="center" vertical="center" shrinkToFit="1"/>
    </xf>
    <xf numFmtId="179" fontId="17" fillId="0" borderId="15" xfId="0" applyNumberFormat="1" applyFont="1" applyBorder="1" applyAlignment="1" applyProtection="1">
      <alignment vertical="center" shrinkToFit="1"/>
    </xf>
    <xf numFmtId="0" fontId="17" fillId="0" borderId="15" xfId="0" applyFont="1" applyBorder="1" applyAlignment="1" applyProtection="1">
      <alignment horizontal="center" vertical="center" wrapText="1"/>
    </xf>
    <xf numFmtId="179" fontId="17" fillId="0" borderId="28" xfId="0" applyNumberFormat="1" applyFont="1" applyBorder="1" applyAlignment="1" applyProtection="1">
      <alignment horizontal="center" vertical="center" shrinkToFit="1"/>
    </xf>
    <xf numFmtId="179" fontId="17" fillId="0" borderId="29" xfId="0" applyNumberFormat="1" applyFont="1" applyBorder="1" applyAlignment="1" applyProtection="1">
      <alignment horizontal="center" vertical="center" shrinkToFit="1"/>
    </xf>
    <xf numFmtId="179" fontId="17" fillId="0" borderId="30" xfId="0" applyNumberFormat="1" applyFont="1" applyBorder="1" applyAlignment="1" applyProtection="1">
      <alignment horizontal="center" vertical="center" shrinkToFit="1"/>
    </xf>
    <xf numFmtId="179" fontId="17" fillId="0" borderId="16" xfId="0" applyNumberFormat="1" applyFont="1" applyBorder="1" applyAlignment="1" applyProtection="1">
      <alignment vertical="center" shrinkToFit="1"/>
    </xf>
    <xf numFmtId="0" fontId="17" fillId="0" borderId="16" xfId="0" applyFont="1" applyBorder="1" applyAlignment="1" applyProtection="1">
      <alignment horizontal="center" vertical="center" wrapText="1"/>
    </xf>
    <xf numFmtId="179" fontId="17" fillId="0" borderId="31" xfId="0" applyNumberFormat="1" applyFont="1" applyBorder="1" applyAlignment="1" applyProtection="1">
      <alignment horizontal="center" vertical="center" shrinkToFit="1"/>
    </xf>
    <xf numFmtId="179" fontId="17" fillId="0" borderId="32" xfId="0" applyNumberFormat="1" applyFont="1" applyBorder="1" applyAlignment="1" applyProtection="1">
      <alignment horizontal="center" vertical="center" shrinkToFit="1"/>
    </xf>
    <xf numFmtId="179" fontId="17" fillId="0" borderId="33" xfId="0" applyNumberFormat="1" applyFont="1" applyBorder="1" applyAlignment="1" applyProtection="1">
      <alignment horizontal="center" vertical="center" shrinkToFit="1"/>
    </xf>
    <xf numFmtId="0" fontId="17" fillId="6" borderId="17" xfId="0" applyFont="1" applyFill="1" applyBorder="1" applyAlignment="1" applyProtection="1">
      <alignment horizontal="center" vertical="center" shrinkToFit="1"/>
    </xf>
    <xf numFmtId="0" fontId="17" fillId="6" borderId="1" xfId="0" applyFont="1" applyFill="1" applyBorder="1" applyAlignment="1" applyProtection="1">
      <alignment horizontal="center" vertical="center" shrinkToFit="1"/>
    </xf>
    <xf numFmtId="181" fontId="17" fillId="0" borderId="17" xfId="0" applyNumberFormat="1" applyFont="1" applyBorder="1" applyProtection="1">
      <alignment vertical="center"/>
    </xf>
    <xf numFmtId="179" fontId="17" fillId="0" borderId="17" xfId="0" applyNumberFormat="1" applyFont="1" applyFill="1" applyBorder="1" applyAlignment="1" applyProtection="1">
      <alignment vertical="center" wrapText="1" shrinkToFit="1"/>
    </xf>
    <xf numFmtId="0" fontId="17" fillId="0" borderId="0" xfId="0" applyFont="1" applyFill="1" applyBorder="1" applyAlignment="1" applyProtection="1">
      <alignment horizontal="center" vertical="center"/>
    </xf>
    <xf numFmtId="180" fontId="17" fillId="0" borderId="15" xfId="0" applyNumberFormat="1" applyFont="1" applyFill="1" applyBorder="1" applyAlignment="1" applyProtection="1">
      <alignment vertical="center" wrapText="1"/>
    </xf>
    <xf numFmtId="181" fontId="17" fillId="0" borderId="17" xfId="0" applyNumberFormat="1" applyFont="1" applyBorder="1" applyAlignment="1" applyProtection="1">
      <alignment vertical="center" wrapText="1"/>
    </xf>
    <xf numFmtId="179" fontId="17" fillId="0" borderId="17" xfId="0" applyNumberFormat="1" applyFont="1" applyFill="1" applyBorder="1" applyAlignment="1" applyProtection="1">
      <alignment vertical="center" shrinkToFit="1"/>
    </xf>
    <xf numFmtId="179" fontId="17" fillId="0" borderId="34" xfId="0" applyNumberFormat="1" applyFont="1" applyBorder="1" applyAlignment="1" applyProtection="1">
      <alignment horizontal="center" vertical="center" shrinkToFit="1"/>
    </xf>
    <xf numFmtId="179" fontId="17" fillId="0" borderId="35" xfId="0" applyNumberFormat="1" applyFont="1" applyBorder="1" applyAlignment="1" applyProtection="1">
      <alignment horizontal="center" vertical="center" shrinkToFit="1"/>
    </xf>
    <xf numFmtId="179" fontId="17" fillId="0" borderId="36" xfId="0" applyNumberFormat="1" applyFont="1" applyBorder="1" applyAlignment="1" applyProtection="1">
      <alignment horizontal="center" vertical="center" shrinkToFit="1"/>
    </xf>
    <xf numFmtId="0" fontId="17" fillId="0" borderId="47" xfId="0" applyFont="1" applyFill="1" applyBorder="1" applyAlignment="1" applyProtection="1">
      <alignment horizontal="center" vertical="center"/>
    </xf>
    <xf numFmtId="0" fontId="17" fillId="0" borderId="48" xfId="0" applyFont="1" applyFill="1" applyBorder="1" applyAlignment="1" applyProtection="1">
      <alignment horizontal="center" vertical="center"/>
    </xf>
    <xf numFmtId="3" fontId="17" fillId="0" borderId="48" xfId="0" applyNumberFormat="1" applyFont="1" applyFill="1" applyBorder="1" applyProtection="1">
      <alignment vertical="center"/>
    </xf>
    <xf numFmtId="179" fontId="17" fillId="0" borderId="48" xfId="0" applyNumberFormat="1" applyFont="1" applyFill="1" applyBorder="1" applyAlignment="1" applyProtection="1">
      <alignment vertical="center" shrinkToFit="1"/>
    </xf>
    <xf numFmtId="0" fontId="17" fillId="0" borderId="48" xfId="0" applyFont="1" applyFill="1" applyBorder="1" applyProtection="1">
      <alignment vertical="center"/>
    </xf>
    <xf numFmtId="179" fontId="17" fillId="0" borderId="49" xfId="0" applyNumberFormat="1" applyFont="1" applyFill="1" applyBorder="1" applyAlignment="1" applyProtection="1">
      <alignment vertical="center" shrinkToFit="1"/>
    </xf>
    <xf numFmtId="179" fontId="17" fillId="0" borderId="13" xfId="0" applyNumberFormat="1" applyFont="1" applyBorder="1" applyAlignment="1" applyProtection="1">
      <alignment vertical="center" shrinkToFit="1"/>
    </xf>
    <xf numFmtId="14" fontId="17" fillId="0" borderId="0" xfId="0" applyNumberFormat="1" applyFont="1" applyAlignment="1" applyProtection="1">
      <alignment horizontal="center" vertical="center" shrinkToFit="1"/>
    </xf>
    <xf numFmtId="0" fontId="22" fillId="6" borderId="1" xfId="0" applyFont="1" applyFill="1" applyBorder="1" applyAlignment="1" applyProtection="1">
      <alignment horizontal="center" vertical="center"/>
    </xf>
    <xf numFmtId="0" fontId="9" fillId="0" borderId="0" xfId="0" applyFont="1" applyAlignment="1" applyProtection="1">
      <alignment vertical="center" shrinkToFit="1"/>
    </xf>
    <xf numFmtId="0" fontId="9" fillId="0" borderId="0" xfId="0" applyFont="1" applyAlignment="1" applyProtection="1">
      <alignment vertical="center" wrapText="1"/>
    </xf>
    <xf numFmtId="0" fontId="9" fillId="2" borderId="1" xfId="0" applyFont="1" applyFill="1" applyBorder="1" applyAlignment="1" applyProtection="1">
      <alignment horizontal="center" vertical="center" shrinkToFit="1"/>
    </xf>
    <xf numFmtId="0" fontId="9" fillId="2" borderId="1" xfId="0" applyFont="1" applyFill="1" applyBorder="1" applyAlignment="1" applyProtection="1">
      <alignment horizontal="center" vertical="center" wrapText="1"/>
    </xf>
    <xf numFmtId="0" fontId="7" fillId="0" borderId="0" xfId="0" applyFont="1" applyBorder="1" applyAlignment="1" applyProtection="1"/>
    <xf numFmtId="0" fontId="17" fillId="0" borderId="0" xfId="0" applyFont="1" applyBorder="1" applyAlignment="1" applyProtection="1">
      <alignment vertical="center"/>
    </xf>
    <xf numFmtId="0" fontId="17" fillId="0" borderId="0" xfId="0" applyFont="1" applyFill="1" applyBorder="1" applyAlignment="1" applyProtection="1">
      <alignment horizontal="center" vertical="center" shrinkToFit="1"/>
    </xf>
    <xf numFmtId="0" fontId="7" fillId="0" borderId="0" xfId="0" applyFont="1" applyBorder="1" applyAlignment="1" applyProtection="1">
      <alignment vertical="center"/>
    </xf>
    <xf numFmtId="0" fontId="17" fillId="0" borderId="0" xfId="0" applyFont="1" applyAlignment="1" applyProtection="1"/>
    <xf numFmtId="0" fontId="21" fillId="0" borderId="0" xfId="0" applyFont="1">
      <alignment vertical="center"/>
    </xf>
    <xf numFmtId="0" fontId="10" fillId="0" borderId="0" xfId="0" applyFont="1">
      <alignment vertical="center"/>
    </xf>
    <xf numFmtId="0" fontId="19" fillId="0" borderId="0" xfId="0" applyFont="1" applyAlignment="1">
      <alignment horizontal="left" vertical="center"/>
    </xf>
    <xf numFmtId="0" fontId="7" fillId="0" borderId="0" xfId="0" applyFont="1" applyBorder="1" applyAlignment="1">
      <alignment vertical="center" wrapText="1"/>
    </xf>
    <xf numFmtId="14" fontId="19" fillId="0" borderId="0" xfId="0" applyNumberFormat="1" applyFont="1" applyAlignment="1">
      <alignment horizontal="left" vertical="center"/>
    </xf>
    <xf numFmtId="14" fontId="19" fillId="4" borderId="1" xfId="0" applyNumberFormat="1" applyFont="1" applyFill="1" applyBorder="1" applyAlignment="1">
      <alignment horizontal="center" vertical="center"/>
    </xf>
    <xf numFmtId="189" fontId="17" fillId="0" borderId="14" xfId="0" applyNumberFormat="1" applyFont="1" applyFill="1" applyBorder="1" applyAlignment="1" applyProtection="1">
      <alignment vertical="center" wrapText="1"/>
    </xf>
    <xf numFmtId="0" fontId="21" fillId="0" borderId="0" xfId="0" applyFont="1" applyAlignment="1">
      <alignment vertical="center"/>
    </xf>
    <xf numFmtId="0" fontId="24" fillId="0" borderId="0" xfId="0" applyFont="1" applyAlignment="1">
      <alignment vertical="top" wrapText="1"/>
    </xf>
    <xf numFmtId="0" fontId="7" fillId="0" borderId="0" xfId="0" applyFont="1" applyAlignment="1">
      <alignment vertical="center"/>
    </xf>
    <xf numFmtId="0" fontId="7" fillId="0" borderId="0" xfId="0" applyFont="1" applyAlignment="1">
      <alignment vertical="center" wrapText="1"/>
    </xf>
    <xf numFmtId="0" fontId="21" fillId="0" borderId="1" xfId="2" applyFont="1" applyBorder="1" applyAlignment="1">
      <alignment horizontal="center" vertical="center"/>
    </xf>
    <xf numFmtId="0" fontId="29" fillId="0" borderId="0" xfId="0" applyFont="1" applyBorder="1" applyAlignment="1" applyProtection="1">
      <alignment vertical="center"/>
    </xf>
    <xf numFmtId="0" fontId="29" fillId="0" borderId="0" xfId="0" applyFont="1" applyProtection="1">
      <alignment vertical="center"/>
    </xf>
    <xf numFmtId="0" fontId="8" fillId="0" borderId="0" xfId="0" applyFont="1" applyProtection="1">
      <alignment vertical="center"/>
    </xf>
    <xf numFmtId="0" fontId="29" fillId="0" borderId="1" xfId="0" applyFont="1" applyBorder="1" applyAlignment="1" applyProtection="1">
      <alignment horizontal="center" vertical="center"/>
    </xf>
    <xf numFmtId="0" fontId="29" fillId="0" borderId="0" xfId="0" applyFont="1" applyBorder="1" applyAlignment="1" applyProtection="1">
      <alignment horizontal="left" vertical="center" shrinkToFit="1"/>
    </xf>
    <xf numFmtId="177" fontId="8" fillId="0" borderId="7" xfId="0" applyNumberFormat="1" applyFont="1" applyFill="1" applyBorder="1" applyAlignment="1" applyProtection="1">
      <alignment horizontal="center" vertical="center"/>
    </xf>
    <xf numFmtId="177" fontId="8" fillId="0" borderId="8" xfId="0" applyNumberFormat="1" applyFont="1" applyFill="1" applyBorder="1" applyAlignment="1" applyProtection="1">
      <alignment horizontal="center" vertical="center"/>
    </xf>
    <xf numFmtId="177" fontId="8" fillId="0" borderId="6" xfId="0" applyNumberFormat="1" applyFont="1" applyFill="1" applyBorder="1" applyAlignment="1" applyProtection="1">
      <alignment horizontal="center" vertical="center"/>
    </xf>
    <xf numFmtId="0" fontId="8" fillId="0" borderId="0" xfId="0" applyFont="1" applyBorder="1" applyAlignment="1" applyProtection="1">
      <alignment horizontal="center" vertical="center"/>
    </xf>
    <xf numFmtId="0" fontId="29" fillId="0" borderId="0" xfId="0" applyFont="1" applyBorder="1" applyAlignment="1" applyProtection="1">
      <alignment horizontal="left" vertical="center"/>
    </xf>
    <xf numFmtId="0" fontId="8" fillId="0" borderId="0" xfId="0" applyFont="1" applyBorder="1" applyAlignment="1" applyProtection="1">
      <alignment vertical="center" shrinkToFit="1"/>
    </xf>
    <xf numFmtId="0" fontId="29" fillId="0" borderId="0" xfId="0" applyFont="1" applyBorder="1" applyAlignment="1" applyProtection="1">
      <alignment vertical="center" shrinkToFit="1"/>
    </xf>
    <xf numFmtId="0" fontId="8" fillId="0" borderId="0" xfId="0" applyFont="1" applyBorder="1" applyProtection="1">
      <alignment vertical="center"/>
    </xf>
    <xf numFmtId="0" fontId="34" fillId="0" borderId="0" xfId="0" applyFont="1" applyAlignment="1" applyProtection="1">
      <alignment horizontal="center" vertical="center"/>
    </xf>
    <xf numFmtId="0" fontId="8" fillId="0" borderId="43" xfId="0" applyFont="1" applyBorder="1" applyAlignment="1" applyProtection="1">
      <alignment horizontal="center" vertical="center"/>
    </xf>
    <xf numFmtId="0" fontId="8" fillId="0" borderId="0" xfId="0" applyFont="1" applyAlignment="1" applyProtection="1">
      <alignment horizontal="center" vertical="center"/>
    </xf>
    <xf numFmtId="0" fontId="29" fillId="0" borderId="0" xfId="0" applyFont="1" applyAlignment="1" applyProtection="1">
      <alignment horizontal="center" vertical="center"/>
    </xf>
    <xf numFmtId="0" fontId="8" fillId="0" borderId="0" xfId="0" applyFont="1" applyBorder="1" applyAlignment="1" applyProtection="1">
      <alignment vertical="center" wrapText="1" shrinkToFit="1"/>
    </xf>
    <xf numFmtId="0" fontId="8" fillId="0" borderId="0" xfId="0" applyFont="1" applyFill="1" applyBorder="1" applyAlignment="1" applyProtection="1">
      <alignment vertical="top" wrapText="1" shrinkToFit="1"/>
    </xf>
    <xf numFmtId="0" fontId="29" fillId="0" borderId="0" xfId="0" applyFont="1" applyAlignment="1" applyProtection="1">
      <alignment vertical="top"/>
    </xf>
    <xf numFmtId="0" fontId="8" fillId="0" borderId="1" xfId="0" applyFont="1" applyBorder="1" applyAlignment="1" applyProtection="1">
      <alignment horizontal="center" vertical="center"/>
    </xf>
    <xf numFmtId="0" fontId="29" fillId="0" borderId="0" xfId="0" applyFont="1" applyAlignment="1" applyProtection="1">
      <alignment horizontal="left" vertical="center"/>
    </xf>
    <xf numFmtId="0" fontId="7" fillId="0" borderId="0" xfId="0" applyFont="1" applyProtection="1">
      <alignment vertical="center"/>
    </xf>
    <xf numFmtId="0" fontId="14" fillId="0" borderId="0" xfId="0" applyFont="1" applyAlignment="1" applyProtection="1"/>
    <xf numFmtId="3" fontId="7" fillId="0" borderId="0" xfId="0" applyNumberFormat="1" applyFont="1" applyProtection="1">
      <alignment vertical="center"/>
    </xf>
    <xf numFmtId="0" fontId="7" fillId="0" borderId="0" xfId="0" applyFont="1" applyBorder="1" applyAlignment="1" applyProtection="1">
      <alignment horizontal="center" vertical="center"/>
    </xf>
    <xf numFmtId="0" fontId="7" fillId="0" borderId="0" xfId="0" applyFont="1" applyBorder="1" applyProtection="1">
      <alignment vertical="center"/>
    </xf>
    <xf numFmtId="0" fontId="7" fillId="0" borderId="5" xfId="0" applyFont="1" applyBorder="1" applyAlignment="1" applyProtection="1">
      <alignment horizontal="center" vertical="center"/>
    </xf>
    <xf numFmtId="177" fontId="7" fillId="0" borderId="5" xfId="0" applyNumberFormat="1" applyFont="1" applyFill="1" applyBorder="1" applyAlignment="1" applyProtection="1">
      <alignment vertical="center"/>
    </xf>
    <xf numFmtId="0" fontId="7" fillId="0" borderId="1" xfId="0" applyFont="1" applyBorder="1" applyAlignment="1" applyProtection="1">
      <alignment horizontal="center" vertical="center" wrapText="1"/>
    </xf>
    <xf numFmtId="0" fontId="7" fillId="0" borderId="1" xfId="0" applyFont="1" applyBorder="1" applyAlignment="1" applyProtection="1">
      <alignment horizontal="right" vertical="center"/>
    </xf>
    <xf numFmtId="3" fontId="7" fillId="0" borderId="0" xfId="0" applyNumberFormat="1" applyFont="1" applyBorder="1" applyProtection="1">
      <alignment vertical="center"/>
    </xf>
    <xf numFmtId="184" fontId="17" fillId="0" borderId="17" xfId="0" applyNumberFormat="1" applyFont="1" applyFill="1" applyBorder="1" applyAlignment="1" applyProtection="1">
      <alignment horizontal="right" vertical="center" wrapText="1" shrinkToFit="1"/>
    </xf>
    <xf numFmtId="0" fontId="7"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7" fillId="0" borderId="50" xfId="0" applyFont="1" applyBorder="1" applyProtection="1">
      <alignment vertical="center"/>
      <protection locked="0"/>
    </xf>
    <xf numFmtId="0" fontId="7" fillId="0" borderId="56" xfId="0" applyFont="1" applyBorder="1" applyProtection="1">
      <alignment vertical="center"/>
      <protection locked="0"/>
    </xf>
    <xf numFmtId="0" fontId="7" fillId="0" borderId="51" xfId="0" applyFont="1" applyBorder="1" applyProtection="1">
      <alignment vertical="center"/>
      <protection locked="0"/>
    </xf>
    <xf numFmtId="0" fontId="7" fillId="0" borderId="52" xfId="0" applyFont="1" applyBorder="1" applyProtection="1">
      <alignment vertical="center"/>
      <protection locked="0"/>
    </xf>
    <xf numFmtId="0" fontId="7" fillId="0" borderId="0" xfId="0" applyFont="1" applyBorder="1" applyProtection="1">
      <alignment vertical="center"/>
      <protection locked="0"/>
    </xf>
    <xf numFmtId="0" fontId="7" fillId="0" borderId="53" xfId="0" applyFont="1" applyBorder="1" applyProtection="1">
      <alignment vertical="center"/>
      <protection locked="0"/>
    </xf>
    <xf numFmtId="0" fontId="36" fillId="0" borderId="52" xfId="0" applyFont="1" applyBorder="1" applyAlignment="1" applyProtection="1">
      <alignment horizontal="center" vertical="center"/>
      <protection locked="0"/>
    </xf>
    <xf numFmtId="0" fontId="36" fillId="0" borderId="0" xfId="0" applyFont="1" applyAlignment="1" applyProtection="1">
      <alignment horizontal="center" vertical="center"/>
      <protection locked="0"/>
    </xf>
    <xf numFmtId="0" fontId="36" fillId="0" borderId="53" xfId="0" applyFont="1" applyBorder="1" applyAlignment="1" applyProtection="1">
      <alignment horizontal="center" vertical="center"/>
      <protection locked="0"/>
    </xf>
    <xf numFmtId="0" fontId="7" fillId="0" borderId="54" xfId="0" applyFont="1" applyBorder="1" applyProtection="1">
      <alignment vertical="center"/>
      <protection locked="0"/>
    </xf>
    <xf numFmtId="0" fontId="7" fillId="0" borderId="57" xfId="0" applyFont="1" applyBorder="1" applyProtection="1">
      <alignment vertical="center"/>
      <protection locked="0"/>
    </xf>
    <xf numFmtId="0" fontId="7" fillId="0" borderId="55" xfId="0" applyFont="1" applyBorder="1" applyProtection="1">
      <alignment vertical="center"/>
      <protection locked="0"/>
    </xf>
    <xf numFmtId="0" fontId="18" fillId="0" borderId="0" xfId="0" applyFont="1" applyProtection="1">
      <alignment vertical="center"/>
    </xf>
    <xf numFmtId="0" fontId="6" fillId="0" borderId="11" xfId="0" applyFont="1" applyBorder="1" applyAlignment="1" applyProtection="1">
      <alignment vertical="center"/>
    </xf>
    <xf numFmtId="0" fontId="6" fillId="0" borderId="0" xfId="0" applyFont="1" applyBorder="1" applyAlignment="1" applyProtection="1">
      <alignment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179" fontId="9" fillId="0" borderId="0" xfId="0" applyNumberFormat="1" applyFont="1" applyBorder="1" applyAlignment="1" applyProtection="1">
      <alignment horizontal="center" vertical="center"/>
    </xf>
    <xf numFmtId="0" fontId="9" fillId="0" borderId="0" xfId="0" applyFont="1" applyBorder="1" applyProtection="1">
      <alignment vertical="center"/>
    </xf>
    <xf numFmtId="0" fontId="9" fillId="0" borderId="1" xfId="0" applyFont="1" applyBorder="1" applyAlignment="1" applyProtection="1">
      <alignment vertical="center" shrinkToFit="1"/>
    </xf>
    <xf numFmtId="0" fontId="9" fillId="0" borderId="0" xfId="0" applyFont="1" applyBorder="1" applyAlignment="1" applyProtection="1">
      <alignment vertical="center"/>
    </xf>
    <xf numFmtId="0" fontId="9" fillId="0" borderId="0" xfId="0" applyFont="1" applyFill="1" applyBorder="1" applyAlignment="1" applyProtection="1">
      <alignment vertical="center"/>
    </xf>
    <xf numFmtId="0" fontId="9" fillId="0" borderId="0" xfId="0" applyFont="1" applyBorder="1" applyAlignment="1" applyProtection="1">
      <alignment horizontal="center" vertical="center" shrinkToFit="1"/>
    </xf>
    <xf numFmtId="0" fontId="0" fillId="0" borderId="0" xfId="0" applyBorder="1" applyAlignment="1" applyProtection="1">
      <alignment vertical="center"/>
    </xf>
    <xf numFmtId="0" fontId="9" fillId="0" borderId="0" xfId="0" applyFont="1" applyAlignment="1" applyProtection="1">
      <alignment horizontal="left" vertical="center"/>
    </xf>
    <xf numFmtId="190" fontId="9" fillId="0" borderId="1" xfId="0" applyNumberFormat="1" applyFont="1" applyBorder="1" applyAlignment="1" applyProtection="1">
      <alignment horizontal="center" vertical="center"/>
    </xf>
    <xf numFmtId="0" fontId="9" fillId="0" borderId="0" xfId="0" applyFont="1" applyBorder="1" applyAlignment="1" applyProtection="1">
      <alignment horizontal="left" vertical="center"/>
    </xf>
    <xf numFmtId="0" fontId="19" fillId="0" borderId="1" xfId="6" applyFont="1" applyBorder="1" applyAlignment="1">
      <alignment horizontal="center"/>
    </xf>
    <xf numFmtId="0" fontId="19" fillId="3" borderId="1" xfId="6" applyFont="1" applyFill="1" applyBorder="1" applyAlignment="1">
      <alignment horizontal="center"/>
    </xf>
    <xf numFmtId="0" fontId="19" fillId="0" borderId="0" xfId="6" applyFont="1" applyAlignment="1">
      <alignment horizontal="center"/>
    </xf>
    <xf numFmtId="0" fontId="19" fillId="0" borderId="0" xfId="6" applyFont="1"/>
    <xf numFmtId="0" fontId="40" fillId="0" borderId="0" xfId="0" applyFont="1">
      <alignment vertical="center"/>
    </xf>
    <xf numFmtId="0" fontId="40" fillId="0" borderId="0" xfId="0" applyFont="1" applyAlignment="1">
      <alignment horizontal="right" vertical="center"/>
    </xf>
    <xf numFmtId="0" fontId="40" fillId="0" borderId="0" xfId="0" applyFont="1" applyAlignment="1">
      <alignment horizontal="distributed" vertical="center"/>
    </xf>
    <xf numFmtId="0" fontId="19" fillId="3" borderId="0" xfId="6" applyFont="1" applyFill="1"/>
    <xf numFmtId="0" fontId="44" fillId="0" borderId="0" xfId="6" applyFont="1" applyFill="1" applyAlignment="1">
      <alignment horizontal="center" shrinkToFit="1"/>
    </xf>
    <xf numFmtId="0" fontId="44" fillId="0" borderId="1" xfId="6" applyFont="1" applyFill="1" applyBorder="1" applyAlignment="1">
      <alignment horizontal="center" shrinkToFit="1"/>
    </xf>
    <xf numFmtId="0" fontId="19" fillId="7" borderId="0" xfId="6" applyFont="1" applyFill="1" applyAlignment="1">
      <alignment horizontal="center" shrinkToFit="1"/>
    </xf>
    <xf numFmtId="0" fontId="19" fillId="0" borderId="0" xfId="6" applyFont="1" applyFill="1" applyAlignment="1">
      <alignment horizontal="center" shrinkToFit="1"/>
    </xf>
    <xf numFmtId="179" fontId="44" fillId="0" borderId="1" xfId="6" applyNumberFormat="1" applyFont="1" applyFill="1" applyBorder="1" applyAlignment="1">
      <alignment shrinkToFit="1"/>
    </xf>
    <xf numFmtId="179" fontId="19" fillId="7" borderId="1" xfId="6" applyNumberFormat="1" applyFont="1" applyFill="1" applyBorder="1" applyAlignment="1">
      <alignment shrinkToFit="1"/>
    </xf>
    <xf numFmtId="179" fontId="19" fillId="0" borderId="1" xfId="6" applyNumberFormat="1" applyFont="1" applyFill="1" applyBorder="1" applyAlignment="1">
      <alignment shrinkToFit="1"/>
    </xf>
    <xf numFmtId="179" fontId="19" fillId="7" borderId="7" xfId="6" applyNumberFormat="1" applyFont="1" applyFill="1" applyBorder="1" applyAlignment="1">
      <alignment shrinkToFit="1"/>
    </xf>
    <xf numFmtId="0" fontId="44" fillId="0" borderId="0" xfId="6" applyFont="1" applyFill="1" applyAlignment="1">
      <alignment shrinkToFit="1"/>
    </xf>
    <xf numFmtId="0" fontId="19" fillId="7" borderId="0" xfId="6" applyFont="1" applyFill="1" applyAlignment="1">
      <alignment shrinkToFit="1"/>
    </xf>
    <xf numFmtId="0" fontId="19" fillId="0" borderId="0" xfId="6" applyFont="1" applyFill="1" applyAlignment="1">
      <alignment shrinkToFit="1"/>
    </xf>
    <xf numFmtId="178" fontId="7" fillId="0" borderId="2" xfId="0" applyNumberFormat="1" applyFont="1" applyBorder="1" applyAlignment="1" applyProtection="1">
      <alignment vertical="center" shrinkToFit="1"/>
    </xf>
    <xf numFmtId="191" fontId="8" fillId="0" borderId="6" xfId="0" applyNumberFormat="1" applyFont="1" applyBorder="1" applyAlignment="1" applyProtection="1">
      <alignment horizontal="center" vertical="center"/>
      <protection locked="0"/>
    </xf>
    <xf numFmtId="194" fontId="7" fillId="0" borderId="4" xfId="0" applyNumberFormat="1" applyFont="1" applyBorder="1" applyAlignment="1" applyProtection="1">
      <alignment vertical="center" shrinkToFit="1"/>
    </xf>
    <xf numFmtId="0" fontId="7" fillId="0" borderId="1" xfId="0" applyFont="1" applyBorder="1" applyAlignment="1" applyProtection="1">
      <alignment vertical="center"/>
    </xf>
    <xf numFmtId="0" fontId="7" fillId="0" borderId="1" xfId="0" applyFont="1" applyBorder="1" applyAlignment="1" applyProtection="1">
      <alignment horizontal="center" vertical="center"/>
    </xf>
    <xf numFmtId="0" fontId="7" fillId="0" borderId="0" xfId="0" applyFont="1" applyAlignment="1" applyProtection="1">
      <alignment horizontal="center" vertical="center"/>
    </xf>
    <xf numFmtId="197" fontId="29" fillId="0" borderId="0" xfId="0" applyNumberFormat="1" applyFont="1" applyProtection="1">
      <alignment vertical="center"/>
    </xf>
    <xf numFmtId="177" fontId="29" fillId="0" borderId="0" xfId="0" applyNumberFormat="1" applyFont="1" applyAlignment="1" applyProtection="1">
      <alignment horizontal="center" vertical="center"/>
    </xf>
    <xf numFmtId="196" fontId="29" fillId="0" borderId="0" xfId="0" applyNumberFormat="1" applyFont="1" applyAlignment="1" applyProtection="1">
      <alignment horizontal="center" vertical="center"/>
    </xf>
    <xf numFmtId="0" fontId="18" fillId="0" borderId="52" xfId="0" applyFont="1" applyBorder="1" applyAlignment="1" applyProtection="1">
      <alignment horizontal="center" vertical="center" shrinkToFit="1"/>
      <protection locked="0"/>
    </xf>
    <xf numFmtId="0" fontId="37" fillId="0" borderId="0" xfId="0" applyFont="1" applyAlignment="1" applyProtection="1">
      <alignment horizontal="center" vertical="center" shrinkToFit="1"/>
      <protection locked="0"/>
    </xf>
    <xf numFmtId="0" fontId="37" fillId="0" borderId="53" xfId="0" applyFont="1" applyBorder="1" applyAlignment="1" applyProtection="1">
      <alignment horizontal="center" vertical="center" shrinkToFit="1"/>
      <protection locked="0"/>
    </xf>
    <xf numFmtId="0" fontId="37" fillId="0" borderId="52" xfId="0" applyFont="1" applyBorder="1" applyAlignment="1" applyProtection="1">
      <alignment horizontal="center" vertical="center" shrinkToFit="1"/>
      <protection locked="0"/>
    </xf>
    <xf numFmtId="0" fontId="7" fillId="0" borderId="0" xfId="0" applyFont="1" applyAlignment="1">
      <alignment vertical="distributed" wrapText="1"/>
    </xf>
    <xf numFmtId="0" fontId="0" fillId="0" borderId="0" xfId="0" applyAlignment="1">
      <alignment vertical="distributed" wrapText="1"/>
    </xf>
    <xf numFmtId="0" fontId="7" fillId="0" borderId="0" xfId="0" applyFont="1" applyAlignment="1">
      <alignment horizontal="left" vertical="distributed" wrapText="1"/>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29" fillId="0" borderId="0" xfId="0" applyFont="1" applyBorder="1" applyProtection="1">
      <alignment vertical="center"/>
    </xf>
    <xf numFmtId="0" fontId="19" fillId="0" borderId="0" xfId="0" applyFont="1" applyAlignment="1">
      <alignment horizontal="center" vertical="center"/>
    </xf>
    <xf numFmtId="178" fontId="7" fillId="4" borderId="2" xfId="0" applyNumberFormat="1" applyFont="1" applyFill="1" applyBorder="1" applyAlignment="1" applyProtection="1">
      <alignment vertical="center" shrinkToFit="1"/>
    </xf>
    <xf numFmtId="194" fontId="7" fillId="4" borderId="4" xfId="0" applyNumberFormat="1" applyFont="1" applyFill="1" applyBorder="1" applyAlignment="1" applyProtection="1">
      <alignment vertical="center" shrinkToFit="1"/>
    </xf>
    <xf numFmtId="0" fontId="20" fillId="0" borderId="1" xfId="0" applyFont="1" applyBorder="1" applyAlignment="1">
      <alignment horizontal="center" vertical="center"/>
    </xf>
    <xf numFmtId="0" fontId="19" fillId="0" borderId="1" xfId="6" applyFont="1" applyFill="1" applyBorder="1" applyAlignment="1">
      <alignment horizontal="center"/>
    </xf>
    <xf numFmtId="188" fontId="0" fillId="0" borderId="0" xfId="0" applyNumberFormat="1" applyAlignment="1">
      <alignment horizontal="left" vertical="top" wrapText="1"/>
    </xf>
    <xf numFmtId="177" fontId="21" fillId="0" borderId="0" xfId="2" applyNumberFormat="1" applyFont="1" applyAlignment="1">
      <alignment horizontal="distributed" vertical="center"/>
    </xf>
    <xf numFmtId="0" fontId="21" fillId="0" borderId="0" xfId="2" applyFont="1" applyAlignment="1">
      <alignment horizontal="distributed" vertical="center"/>
    </xf>
    <xf numFmtId="0" fontId="9" fillId="0" borderId="0" xfId="0" applyFont="1" applyAlignment="1" applyProtection="1">
      <alignment horizontal="center" vertical="center" shrinkToFit="1"/>
      <protection locked="0"/>
    </xf>
    <xf numFmtId="0" fontId="17" fillId="0" borderId="8" xfId="0" applyFont="1" applyBorder="1" applyAlignment="1" applyProtection="1">
      <alignment vertical="center" shrinkToFit="1"/>
    </xf>
    <xf numFmtId="0" fontId="7" fillId="0" borderId="0" xfId="0" applyFont="1" applyAlignment="1" applyProtection="1"/>
    <xf numFmtId="0" fontId="8" fillId="0" borderId="1" xfId="0" applyFont="1" applyBorder="1" applyAlignment="1" applyProtection="1">
      <alignment vertical="center" textRotation="255"/>
    </xf>
    <xf numFmtId="0" fontId="22" fillId="0" borderId="41" xfId="0" applyFont="1" applyFill="1" applyBorder="1" applyAlignment="1" applyProtection="1">
      <alignment horizontal="center" vertical="center"/>
    </xf>
    <xf numFmtId="0" fontId="22" fillId="0" borderId="42" xfId="0" applyFont="1" applyFill="1" applyBorder="1" applyAlignment="1" applyProtection="1">
      <alignment horizontal="center" vertical="center"/>
    </xf>
    <xf numFmtId="0" fontId="22" fillId="0" borderId="43" xfId="0" applyFont="1" applyFill="1" applyBorder="1" applyAlignment="1" applyProtection="1">
      <alignment horizontal="center" vertical="center"/>
    </xf>
    <xf numFmtId="0" fontId="17" fillId="0" borderId="41" xfId="0" applyFont="1" applyFill="1" applyBorder="1" applyAlignment="1" applyProtection="1">
      <alignment horizontal="center" vertical="center" shrinkToFit="1"/>
    </xf>
    <xf numFmtId="0" fontId="17" fillId="0" borderId="42" xfId="0" applyFont="1" applyFill="1" applyBorder="1" applyAlignment="1" applyProtection="1">
      <alignment horizontal="center" vertical="center" shrinkToFit="1"/>
    </xf>
    <xf numFmtId="0" fontId="17" fillId="0" borderId="43" xfId="0" applyFont="1" applyFill="1" applyBorder="1" applyAlignment="1" applyProtection="1">
      <alignment horizontal="center" vertical="center" shrinkToFit="1"/>
    </xf>
    <xf numFmtId="0" fontId="17" fillId="0" borderId="0" xfId="0" applyFont="1">
      <alignment vertical="center"/>
    </xf>
    <xf numFmtId="0" fontId="17" fillId="0" borderId="0" xfId="0" applyFont="1" applyAlignment="1">
      <alignment horizontal="center" vertical="center"/>
    </xf>
    <xf numFmtId="0" fontId="17" fillId="0" borderId="1" xfId="0" applyFont="1" applyBorder="1" applyAlignment="1">
      <alignment horizontal="center" vertical="center"/>
    </xf>
    <xf numFmtId="0" fontId="17" fillId="0" borderId="1" xfId="0" applyFont="1" applyBorder="1" applyAlignment="1">
      <alignment horizontal="center" vertical="center" shrinkToFit="1"/>
    </xf>
    <xf numFmtId="0" fontId="17" fillId="0" borderId="0" xfId="0" applyFont="1" applyBorder="1" applyAlignment="1" applyProtection="1">
      <alignment vertical="center"/>
    </xf>
    <xf numFmtId="0" fontId="7" fillId="0" borderId="0" xfId="0" applyFont="1" applyBorder="1" applyAlignment="1">
      <alignment vertical="center"/>
    </xf>
    <xf numFmtId="0" fontId="17" fillId="0" borderId="0" xfId="0" applyFont="1" applyBorder="1" applyAlignment="1" applyProtection="1">
      <alignment horizontal="center" vertical="center"/>
    </xf>
    <xf numFmtId="0" fontId="9" fillId="0" borderId="0" xfId="0" applyFont="1" applyBorder="1" applyAlignment="1" applyProtection="1">
      <alignment vertical="center"/>
    </xf>
    <xf numFmtId="0" fontId="9" fillId="0" borderId="1" xfId="0" applyFont="1" applyBorder="1" applyAlignment="1" applyProtection="1">
      <alignment horizontal="center" vertical="center"/>
    </xf>
    <xf numFmtId="0" fontId="0" fillId="0" borderId="0" xfId="0" applyBorder="1" applyAlignment="1" applyProtection="1">
      <alignment vertical="center"/>
    </xf>
    <xf numFmtId="0" fontId="9" fillId="0" borderId="1" xfId="0" applyFont="1" applyBorder="1" applyAlignment="1" applyProtection="1">
      <alignment horizontal="center" vertical="center" shrinkToFit="1"/>
    </xf>
    <xf numFmtId="0" fontId="0" fillId="0" borderId="0" xfId="0" applyBorder="1" applyAlignment="1">
      <alignment horizontal="right" vertical="center"/>
    </xf>
    <xf numFmtId="0" fontId="17" fillId="0" borderId="0" xfId="0" applyFont="1" applyBorder="1" applyAlignment="1">
      <alignment horizontal="right" vertical="center"/>
    </xf>
    <xf numFmtId="179" fontId="17" fillId="0" borderId="0" xfId="0" applyNumberFormat="1" applyFont="1" applyBorder="1" applyAlignment="1">
      <alignment vertical="center"/>
    </xf>
    <xf numFmtId="0" fontId="17" fillId="0" borderId="0" xfId="0" applyFont="1" applyAlignment="1">
      <alignment vertical="center" shrinkToFit="1"/>
    </xf>
    <xf numFmtId="0" fontId="17" fillId="0" borderId="1" xfId="0" applyFont="1" applyBorder="1" applyAlignment="1">
      <alignment vertical="center" shrinkToFit="1"/>
    </xf>
    <xf numFmtId="180" fontId="17" fillId="0" borderId="16" xfId="0" applyNumberFormat="1" applyFont="1" applyFill="1" applyBorder="1" applyAlignment="1" applyProtection="1">
      <alignment vertical="center" wrapText="1"/>
    </xf>
    <xf numFmtId="0" fontId="17" fillId="0" borderId="17" xfId="0" applyFont="1" applyFill="1" applyBorder="1" applyAlignment="1" applyProtection="1">
      <alignment horizontal="center" vertical="center" wrapText="1"/>
    </xf>
    <xf numFmtId="179" fontId="17" fillId="0" borderId="15" xfId="0" applyNumberFormat="1" applyFont="1" applyFill="1" applyBorder="1" applyAlignment="1" applyProtection="1">
      <alignment vertical="center" shrinkToFit="1"/>
    </xf>
    <xf numFmtId="0" fontId="17" fillId="0" borderId="15" xfId="0" applyFont="1" applyFill="1" applyBorder="1" applyAlignment="1" applyProtection="1">
      <alignment horizontal="center" vertical="center" wrapText="1"/>
    </xf>
    <xf numFmtId="179" fontId="17" fillId="0" borderId="16" xfId="0" applyNumberFormat="1" applyFont="1" applyFill="1" applyBorder="1" applyAlignment="1" applyProtection="1">
      <alignment vertical="center" shrinkToFit="1"/>
    </xf>
    <xf numFmtId="0" fontId="17" fillId="0" borderId="16" xfId="0" applyFont="1" applyFill="1" applyBorder="1" applyAlignment="1" applyProtection="1">
      <alignment horizontal="center" vertical="center" wrapText="1"/>
    </xf>
    <xf numFmtId="179" fontId="16" fillId="0" borderId="1" xfId="0" applyNumberFormat="1" applyFont="1" applyBorder="1" applyAlignment="1" applyProtection="1">
      <alignment vertical="center" shrinkToFit="1"/>
    </xf>
    <xf numFmtId="0" fontId="9" fillId="0" borderId="1" xfId="0" applyFont="1" applyBorder="1" applyAlignment="1" applyProtection="1">
      <alignment horizontal="center" vertical="center"/>
    </xf>
    <xf numFmtId="0" fontId="17" fillId="0" borderId="2" xfId="0" applyFont="1" applyBorder="1" applyAlignment="1">
      <alignment horizontal="center" vertical="center"/>
    </xf>
    <xf numFmtId="0" fontId="17" fillId="0" borderId="2" xfId="0" applyFont="1" applyBorder="1" applyAlignment="1">
      <alignment vertical="center" shrinkToFit="1"/>
    </xf>
    <xf numFmtId="0" fontId="17" fillId="0" borderId="13" xfId="0" applyFont="1" applyBorder="1" applyAlignment="1">
      <alignment horizontal="center" vertical="center"/>
    </xf>
    <xf numFmtId="0" fontId="17" fillId="0" borderId="13" xfId="0" applyFont="1" applyBorder="1" applyAlignment="1">
      <alignment vertical="center" shrinkToFit="1"/>
    </xf>
    <xf numFmtId="0" fontId="9" fillId="8" borderId="0" xfId="0" applyFont="1" applyFill="1" applyProtection="1">
      <alignment vertical="center"/>
    </xf>
    <xf numFmtId="0" fontId="17" fillId="8" borderId="0" xfId="0" applyFont="1" applyFill="1" applyProtection="1">
      <alignment vertical="center"/>
    </xf>
    <xf numFmtId="0" fontId="9" fillId="8" borderId="0" xfId="0" applyFont="1" applyFill="1" applyBorder="1" applyProtection="1">
      <alignment vertical="center"/>
    </xf>
    <xf numFmtId="0" fontId="17" fillId="8" borderId="0" xfId="0" applyFont="1" applyFill="1" applyBorder="1" applyAlignment="1" applyProtection="1">
      <alignment vertical="center"/>
    </xf>
    <xf numFmtId="0" fontId="9" fillId="8" borderId="0" xfId="0" applyFont="1" applyFill="1" applyBorder="1" applyAlignment="1" applyProtection="1">
      <alignment vertical="center"/>
    </xf>
    <xf numFmtId="0" fontId="9" fillId="0" borderId="0" xfId="0" applyFont="1" applyBorder="1" applyAlignment="1" applyProtection="1">
      <alignment vertical="center" wrapText="1" shrinkToFit="1"/>
    </xf>
    <xf numFmtId="0" fontId="0" fillId="0" borderId="0" xfId="0" applyAlignment="1">
      <alignment vertical="center" wrapText="1" shrinkToFit="1"/>
    </xf>
    <xf numFmtId="198" fontId="9" fillId="0" borderId="0" xfId="0" applyNumberFormat="1" applyFont="1" applyBorder="1" applyAlignment="1" applyProtection="1">
      <alignment horizontal="right" vertical="center" wrapText="1"/>
    </xf>
    <xf numFmtId="0" fontId="9" fillId="0" borderId="11" xfId="0" applyFont="1" applyBorder="1" applyAlignment="1" applyProtection="1">
      <alignment horizontal="center" vertical="center" shrinkToFit="1"/>
    </xf>
    <xf numFmtId="0" fontId="14" fillId="0" borderId="0" xfId="0" applyFont="1" applyBorder="1" applyAlignment="1" applyProtection="1">
      <alignment horizontal="center" vertical="center"/>
    </xf>
    <xf numFmtId="0" fontId="17" fillId="0" borderId="0" xfId="0" applyFont="1" applyBorder="1" applyAlignment="1" applyProtection="1">
      <alignment horizontal="center" vertical="center" shrinkToFit="1"/>
    </xf>
    <xf numFmtId="3" fontId="17" fillId="0" borderId="0" xfId="0" applyNumberFormat="1" applyFont="1" applyBorder="1" applyAlignment="1" applyProtection="1">
      <alignment horizontal="center" vertical="center"/>
    </xf>
    <xf numFmtId="3" fontId="17" fillId="0" borderId="0" xfId="0" applyNumberFormat="1" applyFont="1" applyBorder="1" applyAlignment="1" applyProtection="1">
      <alignment vertical="center"/>
    </xf>
    <xf numFmtId="14" fontId="17" fillId="0" borderId="0" xfId="0" applyNumberFormat="1" applyFont="1" applyBorder="1" applyAlignment="1" applyProtection="1">
      <alignment vertical="center"/>
    </xf>
    <xf numFmtId="0" fontId="17" fillId="0" borderId="0" xfId="0" applyFont="1" applyBorder="1" applyAlignment="1" applyProtection="1">
      <alignment horizontal="left" vertical="center"/>
    </xf>
    <xf numFmtId="0" fontId="13" fillId="0" borderId="0" xfId="0" applyFont="1" applyBorder="1" applyAlignment="1" applyProtection="1">
      <alignment horizontal="center" vertical="center" shrinkToFit="1"/>
    </xf>
    <xf numFmtId="14" fontId="17" fillId="0" borderId="0" xfId="0" applyNumberFormat="1" applyFont="1" applyBorder="1" applyAlignment="1" applyProtection="1">
      <alignment horizontal="center" vertical="center" shrinkToFit="1"/>
    </xf>
    <xf numFmtId="0" fontId="21" fillId="5" borderId="0" xfId="0" applyFont="1" applyFill="1" applyBorder="1" applyAlignment="1">
      <alignment vertical="center" shrinkToFit="1"/>
    </xf>
    <xf numFmtId="0" fontId="21" fillId="5" borderId="0" xfId="0" applyFont="1" applyFill="1" applyBorder="1" applyAlignment="1">
      <alignment horizontal="center" vertical="center" shrinkToFit="1"/>
    </xf>
    <xf numFmtId="0" fontId="21" fillId="5" borderId="0" xfId="0" applyFont="1" applyFill="1" applyBorder="1" applyAlignment="1">
      <alignment vertical="center" wrapText="1" shrinkToFit="1"/>
    </xf>
    <xf numFmtId="176" fontId="26" fillId="5" borderId="0" xfId="0" applyNumberFormat="1" applyFont="1" applyFill="1" applyBorder="1" applyAlignment="1">
      <alignment horizontal="center" vertical="center" wrapText="1"/>
    </xf>
    <xf numFmtId="0" fontId="21" fillId="5" borderId="0" xfId="0" applyFont="1" applyFill="1" applyBorder="1" applyAlignment="1">
      <alignment horizontal="center" vertical="center"/>
    </xf>
    <xf numFmtId="0" fontId="27" fillId="5" borderId="0" xfId="0" applyFont="1" applyFill="1" applyBorder="1" applyAlignment="1">
      <alignment horizontal="center" vertical="center" wrapText="1" shrinkToFit="1"/>
    </xf>
    <xf numFmtId="176" fontId="27" fillId="5" borderId="0" xfId="0" applyNumberFormat="1" applyFont="1" applyFill="1" applyBorder="1" applyAlignment="1">
      <alignment horizontal="center" vertical="center" wrapText="1"/>
    </xf>
    <xf numFmtId="38" fontId="7" fillId="0" borderId="0" xfId="0" applyNumberFormat="1" applyFont="1" applyBorder="1" applyAlignment="1">
      <alignment vertical="center"/>
    </xf>
    <xf numFmtId="38" fontId="7" fillId="0" borderId="0" xfId="5" applyFont="1" applyBorder="1" applyAlignment="1">
      <alignment vertical="center"/>
    </xf>
    <xf numFmtId="0" fontId="28" fillId="0" borderId="0" xfId="0" applyFont="1" applyBorder="1" applyAlignment="1">
      <alignment vertical="center"/>
    </xf>
    <xf numFmtId="0" fontId="7" fillId="0" borderId="0" xfId="0" applyFont="1" applyBorder="1" applyAlignment="1">
      <alignment horizontal="center" vertical="center"/>
    </xf>
    <xf numFmtId="0" fontId="17" fillId="0" borderId="0" xfId="0" applyFont="1" applyAlignment="1" applyProtection="1">
      <alignment vertical="center" wrapText="1"/>
    </xf>
    <xf numFmtId="0" fontId="7" fillId="0" borderId="0" xfId="0" applyFont="1" applyAlignment="1">
      <alignment vertical="center"/>
    </xf>
    <xf numFmtId="0" fontId="9" fillId="0" borderId="1" xfId="0" applyFont="1" applyBorder="1" applyAlignment="1" applyProtection="1">
      <alignment horizontal="center" vertical="center" wrapText="1"/>
    </xf>
    <xf numFmtId="198" fontId="9" fillId="0" borderId="1" xfId="0" applyNumberFormat="1" applyFont="1" applyBorder="1" applyAlignment="1" applyProtection="1">
      <alignment horizontal="right" vertical="center" wrapText="1"/>
    </xf>
    <xf numFmtId="0" fontId="29" fillId="0" borderId="0" xfId="0" applyFont="1" applyAlignment="1" applyProtection="1">
      <alignment horizontal="center" vertical="center" wrapText="1"/>
    </xf>
    <xf numFmtId="0" fontId="17" fillId="8" borderId="0" xfId="0" applyFont="1" applyFill="1">
      <alignment vertical="center"/>
    </xf>
    <xf numFmtId="0" fontId="9" fillId="0" borderId="1" xfId="0" applyFont="1" applyBorder="1" applyProtection="1">
      <alignment vertical="center"/>
    </xf>
    <xf numFmtId="0" fontId="9" fillId="0" borderId="3" xfId="0" applyFont="1" applyBorder="1" applyAlignment="1" applyProtection="1">
      <alignment horizontal="left" vertical="center"/>
    </xf>
    <xf numFmtId="0" fontId="9" fillId="0" borderId="1" xfId="0" applyFont="1" applyBorder="1" applyAlignment="1" applyProtection="1">
      <alignment horizontal="left" vertical="center" wrapText="1"/>
    </xf>
    <xf numFmtId="0" fontId="9" fillId="0" borderId="7" xfId="0" applyNumberFormat="1" applyFont="1" applyBorder="1" applyAlignment="1" applyProtection="1">
      <alignment vertical="center" wrapText="1"/>
    </xf>
    <xf numFmtId="179" fontId="9" fillId="0" borderId="1" xfId="0" applyNumberFormat="1" applyFont="1" applyBorder="1" applyProtection="1">
      <alignment vertical="center"/>
    </xf>
    <xf numFmtId="179" fontId="9" fillId="0" borderId="1" xfId="0" applyNumberFormat="1" applyFont="1" applyFill="1" applyBorder="1" applyAlignment="1" applyProtection="1">
      <alignment vertical="center" shrinkToFit="1"/>
    </xf>
    <xf numFmtId="0" fontId="17" fillId="0" borderId="0" xfId="0" applyFont="1" applyBorder="1">
      <alignment vertical="center"/>
    </xf>
    <xf numFmtId="0" fontId="17" fillId="0" borderId="61" xfId="0" applyFont="1" applyBorder="1">
      <alignment vertical="center"/>
    </xf>
    <xf numFmtId="0" fontId="17" fillId="0" borderId="64" xfId="0" applyFont="1" applyBorder="1">
      <alignment vertical="center"/>
    </xf>
    <xf numFmtId="0" fontId="17" fillId="0" borderId="65" xfId="0" applyFont="1" applyBorder="1">
      <alignment vertical="center"/>
    </xf>
    <xf numFmtId="0" fontId="17" fillId="0" borderId="66" xfId="0" applyFont="1" applyBorder="1">
      <alignment vertical="center"/>
    </xf>
    <xf numFmtId="0" fontId="17" fillId="0" borderId="67" xfId="0" applyFont="1" applyBorder="1">
      <alignment vertical="center"/>
    </xf>
    <xf numFmtId="0" fontId="17" fillId="0" borderId="68" xfId="0" applyFont="1" applyBorder="1">
      <alignment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7" fillId="0" borderId="1" xfId="0" applyFont="1" applyBorder="1" applyAlignment="1" applyProtection="1">
      <alignment horizontal="center" vertical="center"/>
    </xf>
    <xf numFmtId="0" fontId="7" fillId="0" borderId="0" xfId="0" applyFont="1" applyAlignment="1" applyProtection="1">
      <alignment horizontal="center" vertical="center"/>
    </xf>
    <xf numFmtId="0" fontId="6" fillId="0" borderId="0" xfId="0" applyFont="1" applyAlignment="1">
      <alignment horizontal="left" vertical="center" wrapText="1"/>
    </xf>
    <xf numFmtId="0" fontId="7" fillId="0" borderId="0" xfId="0" applyFont="1" applyAlignment="1" applyProtection="1">
      <alignment horizontal="left" vertical="center" shrinkToFit="1"/>
    </xf>
    <xf numFmtId="0" fontId="7" fillId="0" borderId="0" xfId="0" applyFont="1" applyAlignment="1" applyProtection="1">
      <alignment vertical="center" wrapText="1"/>
    </xf>
    <xf numFmtId="0" fontId="7" fillId="0" borderId="0" xfId="0" applyFont="1" applyAlignment="1" applyProtection="1">
      <alignment horizontal="center" vertical="center" wrapText="1"/>
    </xf>
    <xf numFmtId="0" fontId="7" fillId="0" borderId="0" xfId="0" applyFont="1" applyAlignment="1">
      <alignment horizontal="right" vertical="center"/>
    </xf>
    <xf numFmtId="0" fontId="7" fillId="0" borderId="0" xfId="0" applyFont="1" applyAlignment="1" applyProtection="1">
      <alignment horizontal="left" vertical="center"/>
    </xf>
    <xf numFmtId="179" fontId="7" fillId="0" borderId="0" xfId="0" applyNumberFormat="1" applyFont="1" applyBorder="1" applyAlignment="1">
      <alignment horizontal="center" vertical="center" shrinkToFit="1"/>
    </xf>
    <xf numFmtId="0" fontId="7" fillId="8" borderId="0" xfId="0" applyFont="1" applyFill="1" applyAlignment="1" applyProtection="1">
      <alignment horizontal="left" vertical="center"/>
    </xf>
    <xf numFmtId="0" fontId="7" fillId="8" borderId="0" xfId="0" applyFont="1" applyFill="1" applyAlignment="1" applyProtection="1">
      <alignment vertical="center" wrapText="1"/>
    </xf>
    <xf numFmtId="0" fontId="7" fillId="8" borderId="0" xfId="0" applyFont="1" applyFill="1" applyAlignment="1" applyProtection="1">
      <alignment horizontal="center" vertical="center" wrapText="1"/>
    </xf>
    <xf numFmtId="0" fontId="7" fillId="8" borderId="0" xfId="0" applyFont="1" applyFill="1" applyBorder="1" applyAlignment="1" applyProtection="1">
      <alignment horizontal="center" vertical="center"/>
    </xf>
    <xf numFmtId="179" fontId="7" fillId="8" borderId="0" xfId="0" applyNumberFormat="1" applyFont="1" applyFill="1" applyBorder="1" applyAlignment="1" applyProtection="1">
      <alignment horizontal="center" vertical="center" shrinkToFit="1"/>
    </xf>
    <xf numFmtId="179" fontId="7" fillId="8" borderId="0" xfId="0" applyNumberFormat="1" applyFont="1" applyFill="1" applyBorder="1" applyAlignment="1">
      <alignment horizontal="center" vertical="center" shrinkToFit="1"/>
    </xf>
    <xf numFmtId="0" fontId="7" fillId="8" borderId="0" xfId="0" applyFont="1" applyFill="1" applyProtection="1">
      <alignment vertical="center"/>
    </xf>
    <xf numFmtId="0" fontId="7" fillId="0" borderId="1" xfId="0" applyFont="1" applyBorder="1" applyAlignment="1">
      <alignment vertical="center"/>
    </xf>
    <xf numFmtId="0" fontId="7" fillId="0" borderId="0" xfId="0" applyFont="1" applyBorder="1" applyAlignment="1" applyProtection="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pplyProtection="1">
      <alignment vertical="center" wrapText="1"/>
    </xf>
    <xf numFmtId="183" fontId="7" fillId="0" borderId="1" xfId="0" applyNumberFormat="1" applyFont="1" applyBorder="1" applyAlignment="1" applyProtection="1">
      <alignment vertical="center" shrinkToFit="1"/>
    </xf>
    <xf numFmtId="0" fontId="7" fillId="0" borderId="0" xfId="0" applyFont="1" applyBorder="1" applyAlignment="1" applyProtection="1">
      <alignment vertical="center" wrapText="1"/>
    </xf>
    <xf numFmtId="0" fontId="7" fillId="0" borderId="19" xfId="0" applyFont="1" applyBorder="1" applyAlignment="1" applyProtection="1">
      <alignment horizontal="center" vertical="center"/>
    </xf>
    <xf numFmtId="0" fontId="7" fillId="0" borderId="19" xfId="0" applyFont="1" applyBorder="1" applyAlignment="1" applyProtection="1">
      <alignment vertical="center" wrapText="1"/>
    </xf>
    <xf numFmtId="183" fontId="7" fillId="0" borderId="0" xfId="0" applyNumberFormat="1" applyFont="1" applyBorder="1" applyAlignment="1" applyProtection="1">
      <alignment vertical="center" shrinkToFit="1"/>
    </xf>
    <xf numFmtId="0" fontId="7" fillId="0" borderId="0" xfId="0" applyFont="1" applyBorder="1" applyAlignment="1" applyProtection="1">
      <alignment horizontal="right" vertical="center" wrapText="1"/>
    </xf>
    <xf numFmtId="0" fontId="6" fillId="0" borderId="0" xfId="0" applyFont="1" applyBorder="1" applyAlignment="1">
      <alignment horizontal="right" vertical="center"/>
    </xf>
    <xf numFmtId="0" fontId="48" fillId="8" borderId="0" xfId="0" applyFont="1" applyFill="1" applyAlignment="1" applyProtection="1">
      <alignment horizontal="left" vertical="center"/>
    </xf>
    <xf numFmtId="0" fontId="7" fillId="8" borderId="0" xfId="0" applyFont="1" applyFill="1">
      <alignment vertical="center"/>
    </xf>
    <xf numFmtId="0" fontId="7" fillId="2" borderId="1" xfId="0" applyFont="1" applyFill="1" applyBorder="1" applyAlignment="1" applyProtection="1">
      <alignment horizontal="center" vertical="center" shrinkToFit="1"/>
    </xf>
    <xf numFmtId="0" fontId="7" fillId="2" borderId="1" xfId="0" applyFont="1" applyFill="1" applyBorder="1" applyAlignment="1">
      <alignment horizontal="center" vertical="center"/>
    </xf>
    <xf numFmtId="0" fontId="7" fillId="2" borderId="1" xfId="0" applyFont="1" applyFill="1" applyBorder="1" applyAlignment="1" applyProtection="1">
      <alignment horizontal="center" vertical="center" wrapText="1"/>
    </xf>
    <xf numFmtId="0" fontId="7" fillId="0" borderId="11" xfId="0" applyFont="1" applyBorder="1" applyAlignment="1">
      <alignment horizontal="center" vertical="center"/>
    </xf>
    <xf numFmtId="0" fontId="7" fillId="0" borderId="1" xfId="0" applyFont="1" applyBorder="1" applyAlignment="1">
      <alignment horizontal="center" vertical="center"/>
    </xf>
    <xf numFmtId="179" fontId="7" fillId="0" borderId="1" xfId="0" applyNumberFormat="1" applyFont="1" applyFill="1" applyBorder="1" applyAlignment="1" applyProtection="1">
      <alignment horizontal="right" vertical="center" shrinkToFit="1"/>
    </xf>
    <xf numFmtId="179" fontId="21" fillId="0" borderId="1" xfId="0" applyNumberFormat="1" applyFont="1" applyBorder="1" applyAlignment="1" applyProtection="1">
      <alignment vertical="center" shrinkToFit="1"/>
    </xf>
    <xf numFmtId="0" fontId="7" fillId="0" borderId="1" xfId="0" applyFont="1" applyBorder="1" applyAlignment="1" applyProtection="1">
      <alignment horizontal="center" vertical="center" shrinkToFit="1"/>
    </xf>
    <xf numFmtId="190" fontId="7" fillId="0" borderId="1" xfId="0" applyNumberFormat="1" applyFont="1" applyBorder="1" applyAlignment="1">
      <alignment horizontal="center" vertical="center"/>
    </xf>
    <xf numFmtId="0" fontId="7" fillId="0" borderId="1" xfId="0" applyFont="1" applyBorder="1">
      <alignment vertical="center"/>
    </xf>
    <xf numFmtId="0" fontId="7" fillId="0" borderId="7" xfId="0" applyFont="1" applyBorder="1" applyAlignment="1">
      <alignment horizontal="center" vertical="center"/>
    </xf>
    <xf numFmtId="0" fontId="7" fillId="0" borderId="0" xfId="0" applyFont="1" applyFill="1" applyBorder="1">
      <alignment vertical="center"/>
    </xf>
    <xf numFmtId="0" fontId="7" fillId="0" borderId="1" xfId="0" applyFont="1" applyBorder="1" applyAlignment="1">
      <alignment horizontal="center" vertical="center" shrinkToFit="1"/>
    </xf>
    <xf numFmtId="199" fontId="7" fillId="0" borderId="1" xfId="0" applyNumberFormat="1" applyFont="1" applyBorder="1">
      <alignment vertical="center"/>
    </xf>
    <xf numFmtId="0" fontId="9" fillId="8" borderId="0" xfId="0" applyFont="1" applyFill="1" applyAlignment="1" applyProtection="1">
      <alignment horizontal="left" vertical="center"/>
    </xf>
    <xf numFmtId="200" fontId="7" fillId="0" borderId="1" xfId="2" applyNumberFormat="1" applyFont="1" applyBorder="1">
      <alignment vertical="center"/>
    </xf>
    <xf numFmtId="201" fontId="7" fillId="0" borderId="1" xfId="2" applyNumberFormat="1" applyFont="1" applyBorder="1">
      <alignment vertical="center"/>
    </xf>
    <xf numFmtId="202" fontId="7" fillId="0" borderId="1" xfId="2" applyNumberFormat="1" applyFont="1" applyBorder="1">
      <alignment vertical="center"/>
    </xf>
    <xf numFmtId="203" fontId="7" fillId="0" borderId="1" xfId="2" applyNumberFormat="1" applyFont="1" applyBorder="1">
      <alignment vertical="center"/>
    </xf>
    <xf numFmtId="0" fontId="30" fillId="0" borderId="0" xfId="0" applyFont="1" applyBorder="1" applyAlignment="1" applyProtection="1">
      <alignment horizontal="left" vertical="center"/>
    </xf>
    <xf numFmtId="0" fontId="8" fillId="9" borderId="42" xfId="0" applyNumberFormat="1" applyFont="1" applyFill="1" applyBorder="1" applyAlignment="1" applyProtection="1">
      <alignment horizontal="center" vertical="center"/>
      <protection locked="0"/>
    </xf>
    <xf numFmtId="0" fontId="29" fillId="0" borderId="0" xfId="0" applyFont="1" applyBorder="1" applyAlignment="1" applyProtection="1">
      <alignment horizontal="center" vertical="center"/>
    </xf>
    <xf numFmtId="0" fontId="29" fillId="0" borderId="9"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8" fillId="0" borderId="1" xfId="0" applyFont="1" applyBorder="1" applyAlignment="1" applyProtection="1">
      <alignment vertical="center" shrinkToFit="1"/>
    </xf>
    <xf numFmtId="0" fontId="17" fillId="0" borderId="1" xfId="0" applyFont="1" applyBorder="1" applyAlignment="1">
      <alignment horizontal="center" vertical="center"/>
    </xf>
    <xf numFmtId="0" fontId="19" fillId="0" borderId="1" xfId="0" applyFont="1" applyBorder="1" applyAlignment="1" applyProtection="1">
      <alignment horizontal="left" vertical="center"/>
    </xf>
    <xf numFmtId="0" fontId="19" fillId="0" borderId="1" xfId="0" applyNumberFormat="1" applyFont="1" applyBorder="1" applyAlignment="1" applyProtection="1">
      <alignment horizontal="center" vertical="center"/>
    </xf>
    <xf numFmtId="0" fontId="19" fillId="0" borderId="1" xfId="0" applyFont="1" applyBorder="1" applyAlignment="1" applyProtection="1">
      <alignment horizontal="center" vertical="center"/>
    </xf>
    <xf numFmtId="14" fontId="19" fillId="0" borderId="1" xfId="0" applyNumberFormat="1" applyFont="1" applyBorder="1" applyAlignment="1" applyProtection="1">
      <alignment horizontal="left" vertical="center"/>
    </xf>
    <xf numFmtId="14" fontId="19" fillId="0" borderId="1" xfId="0" applyNumberFormat="1" applyFont="1" applyBorder="1" applyAlignment="1">
      <alignment horizontal="center" vertical="center"/>
    </xf>
    <xf numFmtId="0" fontId="19" fillId="0" borderId="1" xfId="0" applyFont="1" applyBorder="1" applyAlignment="1">
      <alignment horizontal="center" vertical="center"/>
    </xf>
    <xf numFmtId="0" fontId="19" fillId="0" borderId="1" xfId="0" applyFont="1" applyBorder="1" applyAlignment="1">
      <alignment horizontal="left" vertical="center"/>
    </xf>
    <xf numFmtId="14" fontId="19" fillId="0" borderId="1" xfId="0" applyNumberFormat="1" applyFont="1" applyBorder="1" applyAlignment="1">
      <alignment horizontal="left" vertical="center"/>
    </xf>
    <xf numFmtId="0" fontId="29" fillId="0" borderId="9" xfId="0" applyNumberFormat="1" applyFont="1" applyBorder="1" applyAlignment="1" applyProtection="1">
      <alignment horizontal="center" vertical="center"/>
    </xf>
    <xf numFmtId="38" fontId="29" fillId="0" borderId="1" xfId="5" applyFont="1" applyBorder="1" applyAlignment="1" applyProtection="1">
      <alignment horizontal="center" vertical="center"/>
    </xf>
    <xf numFmtId="0" fontId="29" fillId="0" borderId="1" xfId="0" applyFont="1" applyBorder="1" applyAlignment="1" applyProtection="1">
      <alignment horizontal="center" vertical="center"/>
      <protection locked="0"/>
    </xf>
    <xf numFmtId="0" fontId="29" fillId="0" borderId="6" xfId="0" applyFont="1" applyFill="1" applyBorder="1" applyAlignment="1">
      <alignment horizontal="left" vertical="center" shrinkToFit="1"/>
    </xf>
    <xf numFmtId="38" fontId="8" fillId="0" borderId="1" xfId="5" applyFont="1" applyBorder="1" applyAlignment="1" applyProtection="1">
      <alignment horizontal="center" vertical="center"/>
    </xf>
    <xf numFmtId="0" fontId="8" fillId="0" borderId="1" xfId="0" applyFont="1" applyBorder="1" applyProtection="1">
      <alignment vertical="center"/>
    </xf>
    <xf numFmtId="0" fontId="8" fillId="0" borderId="1" xfId="0" applyFont="1" applyBorder="1" applyAlignment="1" applyProtection="1">
      <alignment horizontal="left" vertical="center"/>
    </xf>
    <xf numFmtId="0" fontId="19" fillId="0" borderId="1" xfId="0" applyFont="1" applyBorder="1" applyProtection="1">
      <alignment vertical="center"/>
    </xf>
    <xf numFmtId="0" fontId="8" fillId="0" borderId="1" xfId="0" applyFont="1" applyBorder="1" applyAlignment="1" applyProtection="1">
      <alignment vertical="center" shrinkToFit="1"/>
    </xf>
    <xf numFmtId="0" fontId="8" fillId="9" borderId="41" xfId="0" applyFont="1" applyFill="1" applyBorder="1" applyAlignment="1" applyProtection="1">
      <alignment horizontal="center" vertical="center"/>
      <protection locked="0"/>
    </xf>
    <xf numFmtId="0" fontId="8" fillId="9" borderId="42" xfId="0" applyFont="1" applyFill="1" applyBorder="1" applyAlignment="1" applyProtection="1">
      <alignment horizontal="center" vertical="center"/>
      <protection locked="0"/>
    </xf>
    <xf numFmtId="0" fontId="8" fillId="9" borderId="43" xfId="0" applyFont="1" applyFill="1" applyBorder="1" applyAlignment="1" applyProtection="1">
      <alignment horizontal="center" vertical="center"/>
      <protection locked="0"/>
    </xf>
    <xf numFmtId="0" fontId="8" fillId="9" borderId="1" xfId="0" applyFont="1" applyFill="1" applyBorder="1" applyAlignment="1" applyProtection="1">
      <alignment horizontal="center" vertical="center"/>
      <protection locked="0"/>
    </xf>
    <xf numFmtId="3" fontId="17" fillId="9" borderId="23" xfId="0" applyNumberFormat="1" applyFont="1" applyFill="1" applyBorder="1" applyAlignment="1" applyProtection="1">
      <alignment horizontal="center" vertical="center" shrinkToFit="1"/>
      <protection locked="0"/>
    </xf>
    <xf numFmtId="3" fontId="17" fillId="9" borderId="26" xfId="0" applyNumberFormat="1" applyFont="1" applyFill="1" applyBorder="1" applyAlignment="1" applyProtection="1">
      <alignment horizontal="center" vertical="center" shrinkToFit="1"/>
      <protection locked="0"/>
    </xf>
    <xf numFmtId="3" fontId="17" fillId="9" borderId="29" xfId="0" applyNumberFormat="1" applyFont="1" applyFill="1" applyBorder="1" applyAlignment="1" applyProtection="1">
      <alignment horizontal="center" vertical="center" shrinkToFit="1"/>
      <protection locked="0"/>
    </xf>
    <xf numFmtId="3" fontId="17" fillId="9" borderId="32" xfId="0" applyNumberFormat="1" applyFont="1" applyFill="1" applyBorder="1" applyAlignment="1" applyProtection="1">
      <alignment horizontal="center" vertical="center" shrinkToFit="1"/>
      <protection locked="0"/>
    </xf>
    <xf numFmtId="3" fontId="17" fillId="9" borderId="35" xfId="0" applyNumberFormat="1" applyFont="1" applyFill="1" applyBorder="1" applyAlignment="1" applyProtection="1">
      <alignment horizontal="center" vertical="center" shrinkToFit="1"/>
      <protection locked="0"/>
    </xf>
    <xf numFmtId="0" fontId="21" fillId="9" borderId="1" xfId="0" applyFont="1" applyFill="1" applyBorder="1" applyAlignment="1" applyProtection="1">
      <alignment horizontal="left" vertical="center" shrinkToFit="1"/>
      <protection locked="0"/>
    </xf>
    <xf numFmtId="0" fontId="7" fillId="9" borderId="1" xfId="0" applyFont="1" applyFill="1" applyBorder="1" applyAlignment="1" applyProtection="1">
      <alignment horizontal="center" vertical="center" shrinkToFit="1"/>
      <protection locked="0"/>
    </xf>
    <xf numFmtId="3" fontId="7" fillId="9" borderId="1" xfId="0" applyNumberFormat="1" applyFont="1" applyFill="1" applyBorder="1" applyAlignment="1" applyProtection="1">
      <alignment horizontal="center" vertical="center" shrinkToFit="1"/>
      <protection locked="0"/>
    </xf>
    <xf numFmtId="179" fontId="7" fillId="9" borderId="1" xfId="0" applyNumberFormat="1" applyFont="1" applyFill="1" applyBorder="1" applyAlignment="1" applyProtection="1">
      <alignment horizontal="right" vertical="center" shrinkToFit="1"/>
      <protection locked="0"/>
    </xf>
    <xf numFmtId="182" fontId="7" fillId="9" borderId="1" xfId="0" applyNumberFormat="1" applyFont="1" applyFill="1" applyBorder="1" applyAlignment="1" applyProtection="1">
      <alignment vertical="center" shrinkToFit="1"/>
      <protection locked="0"/>
    </xf>
    <xf numFmtId="183" fontId="7" fillId="9" borderId="1" xfId="0" applyNumberFormat="1" applyFont="1" applyFill="1" applyBorder="1" applyAlignment="1" applyProtection="1">
      <alignment vertical="center" shrinkToFit="1"/>
      <protection locked="0"/>
    </xf>
    <xf numFmtId="0" fontId="9" fillId="9" borderId="1" xfId="0" applyFont="1" applyFill="1" applyBorder="1" applyAlignment="1" applyProtection="1">
      <alignment vertical="center" shrinkToFit="1"/>
      <protection locked="0"/>
    </xf>
    <xf numFmtId="49" fontId="9" fillId="9" borderId="1" xfId="0" applyNumberFormat="1" applyFont="1" applyFill="1" applyBorder="1" applyAlignment="1" applyProtection="1">
      <alignment horizontal="left" vertical="center" shrinkToFit="1"/>
      <protection locked="0"/>
    </xf>
    <xf numFmtId="3" fontId="9" fillId="9" borderId="1" xfId="0" applyNumberFormat="1" applyFont="1" applyFill="1" applyBorder="1" applyAlignment="1" applyProtection="1">
      <alignment vertical="center" shrinkToFit="1"/>
      <protection locked="0"/>
    </xf>
    <xf numFmtId="179" fontId="9" fillId="9" borderId="1" xfId="0" applyNumberFormat="1" applyFont="1" applyFill="1" applyBorder="1" applyAlignment="1" applyProtection="1">
      <alignment vertical="center" shrinkToFit="1"/>
      <protection locked="0"/>
    </xf>
    <xf numFmtId="179" fontId="9" fillId="9" borderId="1" xfId="0" applyNumberFormat="1" applyFont="1" applyFill="1" applyBorder="1" applyAlignment="1" applyProtection="1">
      <alignment horizontal="right" vertical="center" wrapText="1"/>
      <protection locked="0"/>
    </xf>
    <xf numFmtId="0" fontId="9" fillId="9" borderId="0" xfId="0" applyFont="1" applyFill="1" applyProtection="1">
      <alignment vertical="center"/>
      <protection locked="0"/>
    </xf>
    <xf numFmtId="0" fontId="17" fillId="0" borderId="2"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7" fillId="6" borderId="1" xfId="0" applyFont="1" applyFill="1" applyBorder="1" applyAlignment="1" applyProtection="1">
      <alignment horizontal="center" vertical="center"/>
    </xf>
    <xf numFmtId="0" fontId="17" fillId="6" borderId="1" xfId="0" applyFont="1" applyFill="1" applyBorder="1" applyAlignment="1" applyProtection="1">
      <alignment horizontal="center" vertical="center" wrapText="1"/>
    </xf>
    <xf numFmtId="0" fontId="17" fillId="0" borderId="0" xfId="0" applyFont="1" applyBorder="1" applyAlignment="1">
      <alignment vertical="center"/>
    </xf>
    <xf numFmtId="0" fontId="0" fillId="0" borderId="0" xfId="0" applyBorder="1" applyAlignment="1">
      <alignment vertical="center"/>
    </xf>
    <xf numFmtId="0" fontId="9" fillId="0" borderId="1" xfId="0" applyFont="1" applyBorder="1" applyAlignment="1" applyProtection="1">
      <alignment horizontal="center" vertical="center"/>
    </xf>
    <xf numFmtId="0" fontId="17" fillId="0" borderId="14" xfId="0" applyFont="1" applyFill="1" applyBorder="1" applyAlignment="1" applyProtection="1">
      <alignment horizontal="center" vertical="center" wrapText="1"/>
    </xf>
    <xf numFmtId="180" fontId="17" fillId="0" borderId="14" xfId="0" applyNumberFormat="1" applyFont="1" applyFill="1" applyBorder="1" applyAlignment="1" applyProtection="1">
      <alignment vertical="center" wrapText="1"/>
    </xf>
    <xf numFmtId="179" fontId="17" fillId="0" borderId="14" xfId="0" applyNumberFormat="1" applyFont="1" applyFill="1" applyBorder="1" applyAlignment="1" applyProtection="1">
      <alignment vertical="center" shrinkToFit="1"/>
    </xf>
    <xf numFmtId="0" fontId="19" fillId="0" borderId="1" xfId="6" applyFont="1" applyBorder="1" applyAlignment="1">
      <alignment horizontal="center"/>
    </xf>
    <xf numFmtId="0" fontId="19" fillId="0" borderId="4" xfId="6" applyFont="1" applyBorder="1" applyAlignment="1">
      <alignment horizontal="center"/>
    </xf>
    <xf numFmtId="0" fontId="19" fillId="7" borderId="1" xfId="6" applyFont="1" applyFill="1" applyBorder="1" applyAlignment="1">
      <alignment shrinkToFit="1"/>
    </xf>
    <xf numFmtId="0" fontId="19" fillId="0" borderId="1" xfId="6" applyFont="1" applyFill="1" applyBorder="1" applyAlignment="1">
      <alignment shrinkToFit="1"/>
    </xf>
    <xf numFmtId="0" fontId="19" fillId="0" borderId="1" xfId="6" applyFont="1" applyFill="1" applyBorder="1"/>
    <xf numFmtId="179" fontId="19" fillId="10" borderId="1" xfId="7" applyNumberFormat="1" applyFont="1" applyFill="1" applyBorder="1" applyAlignment="1">
      <alignment vertical="center" wrapText="1"/>
    </xf>
    <xf numFmtId="179" fontId="19" fillId="7" borderId="1" xfId="7" applyNumberFormat="1" applyFont="1" applyFill="1" applyBorder="1" applyAlignment="1">
      <alignment vertical="center" wrapText="1"/>
    </xf>
    <xf numFmtId="179" fontId="19" fillId="7" borderId="0" xfId="6" applyNumberFormat="1" applyFont="1" applyFill="1" applyAlignment="1">
      <alignment horizontal="right" shrinkToFit="1"/>
    </xf>
    <xf numFmtId="0" fontId="7" fillId="0" borderId="0" xfId="0" applyFont="1" applyAlignment="1" applyProtection="1">
      <alignment horizontal="center" vertical="center"/>
    </xf>
    <xf numFmtId="179" fontId="19" fillId="0" borderId="1" xfId="6" applyNumberFormat="1" applyFont="1" applyFill="1" applyBorder="1" applyAlignment="1">
      <alignment horizontal="center"/>
    </xf>
    <xf numFmtId="0" fontId="19" fillId="0" borderId="1" xfId="6" applyFont="1" applyFill="1" applyBorder="1" applyAlignment="1">
      <alignment horizontal="center"/>
    </xf>
    <xf numFmtId="180" fontId="19" fillId="0" borderId="1" xfId="6" applyNumberFormat="1" applyFont="1" applyFill="1" applyBorder="1" applyAlignment="1">
      <alignment horizontal="center"/>
    </xf>
    <xf numFmtId="179" fontId="19" fillId="0" borderId="1" xfId="6" applyNumberFormat="1" applyFont="1" applyFill="1" applyBorder="1"/>
    <xf numFmtId="180" fontId="19" fillId="0" borderId="1" xfId="6" applyNumberFormat="1" applyFont="1" applyFill="1" applyBorder="1"/>
    <xf numFmtId="49" fontId="19" fillId="0" borderId="1" xfId="6" applyNumberFormat="1" applyFont="1" applyFill="1" applyBorder="1" applyAlignment="1">
      <alignment horizontal="center"/>
    </xf>
    <xf numFmtId="0" fontId="19" fillId="0" borderId="4" xfId="6" applyFont="1" applyFill="1" applyBorder="1"/>
    <xf numFmtId="179" fontId="19" fillId="0" borderId="4" xfId="6" applyNumberFormat="1" applyFont="1" applyFill="1" applyBorder="1"/>
    <xf numFmtId="180" fontId="19" fillId="0" borderId="4" xfId="6" applyNumberFormat="1" applyFont="1" applyFill="1" applyBorder="1"/>
    <xf numFmtId="0" fontId="19" fillId="0" borderId="4" xfId="6" applyFont="1" applyFill="1" applyBorder="1" applyAlignment="1">
      <alignment horizontal="center"/>
    </xf>
    <xf numFmtId="0" fontId="19" fillId="7" borderId="7" xfId="6" applyFont="1" applyFill="1" applyBorder="1" applyAlignment="1">
      <alignment horizontal="centerContinuous"/>
    </xf>
    <xf numFmtId="0" fontId="0" fillId="7" borderId="8" xfId="0" applyFill="1" applyBorder="1" applyAlignment="1">
      <alignment horizontal="centerContinuous"/>
    </xf>
    <xf numFmtId="0" fontId="19" fillId="0" borderId="7" xfId="6" applyFont="1" applyFill="1" applyBorder="1" applyAlignment="1">
      <alignment horizontal="centerContinuous"/>
    </xf>
    <xf numFmtId="0" fontId="0" fillId="0" borderId="8" xfId="0" applyFill="1" applyBorder="1" applyAlignment="1">
      <alignment horizontal="centerContinuous"/>
    </xf>
    <xf numFmtId="0" fontId="0" fillId="0" borderId="6" xfId="0" applyFill="1" applyBorder="1" applyAlignment="1">
      <alignment horizontal="centerContinuous"/>
    </xf>
    <xf numFmtId="0" fontId="0" fillId="7" borderId="6" xfId="0" applyFill="1" applyBorder="1" applyAlignment="1">
      <alignment horizontal="centerContinuous"/>
    </xf>
    <xf numFmtId="0" fontId="7" fillId="0" borderId="11" xfId="0" applyFont="1" applyBorder="1" applyAlignment="1" applyProtection="1">
      <alignment horizontal="center" vertical="center" wrapText="1"/>
    </xf>
    <xf numFmtId="0" fontId="19" fillId="0" borderId="0" xfId="6" applyFont="1" applyFill="1" applyAlignment="1">
      <alignment horizontal="center"/>
    </xf>
    <xf numFmtId="178" fontId="7" fillId="0" borderId="0" xfId="0" applyNumberFormat="1" applyFont="1" applyProtection="1">
      <alignment vertical="center"/>
    </xf>
    <xf numFmtId="179" fontId="56" fillId="0" borderId="0" xfId="0" applyNumberFormat="1" applyFont="1" applyBorder="1" applyAlignment="1" applyProtection="1">
      <alignment horizontal="center" vertical="center"/>
    </xf>
    <xf numFmtId="14" fontId="17" fillId="0" borderId="1" xfId="0" applyNumberFormat="1" applyFont="1" applyBorder="1" applyAlignment="1" applyProtection="1">
      <alignment horizontal="center" vertical="center"/>
    </xf>
    <xf numFmtId="204" fontId="17" fillId="0" borderId="1" xfId="0" applyNumberFormat="1" applyFont="1" applyBorder="1" applyAlignment="1" applyProtection="1">
      <alignment horizontal="center" vertical="center"/>
    </xf>
    <xf numFmtId="3" fontId="17" fillId="0" borderId="1" xfId="0" applyNumberFormat="1" applyFont="1" applyBorder="1" applyAlignment="1" applyProtection="1">
      <alignment horizontal="center" vertical="center"/>
    </xf>
    <xf numFmtId="0" fontId="17" fillId="0" borderId="1" xfId="0" applyFont="1" applyBorder="1" applyAlignment="1" applyProtection="1">
      <alignment horizontal="center" vertical="center"/>
    </xf>
    <xf numFmtId="177" fontId="7" fillId="0" borderId="0" xfId="0" applyNumberFormat="1" applyFont="1" applyFill="1" applyBorder="1" applyAlignment="1" applyProtection="1">
      <alignment vertical="center"/>
    </xf>
    <xf numFmtId="0" fontId="7" fillId="0" borderId="11" xfId="0" applyFont="1" applyBorder="1" applyAlignment="1" applyProtection="1">
      <alignment horizontal="center" vertical="center"/>
    </xf>
    <xf numFmtId="0" fontId="0" fillId="0" borderId="11" xfId="0" applyBorder="1" applyAlignment="1">
      <alignment horizontal="center" vertical="center" wrapText="1"/>
    </xf>
    <xf numFmtId="0" fontId="56" fillId="0" borderId="29" xfId="0" applyFont="1" applyBorder="1" applyAlignment="1" applyProtection="1">
      <alignment horizontal="center" vertical="center" wrapText="1"/>
    </xf>
    <xf numFmtId="0" fontId="56" fillId="0" borderId="52" xfId="0" applyFont="1" applyBorder="1" applyProtection="1">
      <alignment vertical="center"/>
    </xf>
    <xf numFmtId="179" fontId="56" fillId="0" borderId="69" xfId="0" applyNumberFormat="1" applyFont="1" applyBorder="1" applyAlignment="1" applyProtection="1">
      <alignment horizontal="center" vertical="center"/>
    </xf>
    <xf numFmtId="205" fontId="56" fillId="0" borderId="70" xfId="0" applyNumberFormat="1" applyFont="1" applyBorder="1" applyAlignment="1" applyProtection="1">
      <alignment horizontal="center" vertical="center"/>
    </xf>
    <xf numFmtId="0" fontId="7" fillId="0" borderId="1" xfId="0" applyFont="1" applyBorder="1" applyAlignment="1" applyProtection="1">
      <alignment horizontal="center" vertical="center"/>
      <protection locked="0"/>
    </xf>
    <xf numFmtId="0" fontId="19" fillId="0" borderId="1" xfId="6" applyFont="1" applyFill="1" applyBorder="1" applyAlignment="1">
      <alignment horizontal="center"/>
    </xf>
    <xf numFmtId="179" fontId="19" fillId="7" borderId="18" xfId="6" applyNumberFormat="1" applyFont="1" applyFill="1" applyBorder="1" applyAlignment="1">
      <alignment shrinkToFit="1"/>
    </xf>
    <xf numFmtId="0" fontId="21" fillId="0" borderId="0" xfId="2" applyFont="1" applyAlignment="1">
      <alignment vertical="center" shrinkToFit="1"/>
    </xf>
    <xf numFmtId="0" fontId="19" fillId="0" borderId="1" xfId="6" applyFont="1" applyFill="1" applyBorder="1" applyAlignment="1">
      <alignment horizontal="center"/>
    </xf>
    <xf numFmtId="0" fontId="19" fillId="0" borderId="1" xfId="6" applyFont="1" applyBorder="1"/>
    <xf numFmtId="179" fontId="19" fillId="0" borderId="1" xfId="6" applyNumberFormat="1" applyFont="1" applyBorder="1"/>
    <xf numFmtId="180" fontId="19" fillId="0" borderId="1" xfId="6" applyNumberFormat="1" applyFont="1" applyBorder="1"/>
    <xf numFmtId="179" fontId="44" fillId="0" borderId="1" xfId="6" applyNumberFormat="1" applyFont="1" applyBorder="1" applyAlignment="1">
      <alignment shrinkToFit="1"/>
    </xf>
    <xf numFmtId="179" fontId="19" fillId="0" borderId="1" xfId="6" applyNumberFormat="1" applyFont="1" applyBorder="1" applyAlignment="1">
      <alignment shrinkToFit="1"/>
    </xf>
    <xf numFmtId="0" fontId="21" fillId="0" borderId="2" xfId="2" applyFont="1" applyBorder="1" applyAlignment="1">
      <alignment horizontal="right" vertical="center" shrinkToFit="1"/>
    </xf>
    <xf numFmtId="0" fontId="21" fillId="0" borderId="1" xfId="2" applyFont="1" applyBorder="1" applyAlignment="1">
      <alignment horizontal="center" vertical="center" shrinkToFit="1"/>
    </xf>
    <xf numFmtId="0" fontId="21" fillId="0" borderId="8" xfId="2" applyFont="1" applyBorder="1" applyAlignment="1">
      <alignment horizontal="center" vertical="center" shrinkToFit="1"/>
    </xf>
    <xf numFmtId="0" fontId="19" fillId="0" borderId="1" xfId="6" applyFont="1" applyFill="1" applyBorder="1" applyAlignment="1">
      <alignment horizontal="center"/>
    </xf>
    <xf numFmtId="0" fontId="8" fillId="0" borderId="2" xfId="0" applyFont="1" applyBorder="1" applyAlignment="1" applyProtection="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8" fillId="0" borderId="7" xfId="0" applyFont="1" applyBorder="1" applyAlignment="1" applyProtection="1">
      <alignment vertical="center" shrinkToFit="1"/>
    </xf>
    <xf numFmtId="0" fontId="0" fillId="0" borderId="8" xfId="0" applyBorder="1" applyAlignment="1">
      <alignment vertical="center" shrinkToFit="1"/>
    </xf>
    <xf numFmtId="0" fontId="0" fillId="0" borderId="6" xfId="0" applyBorder="1" applyAlignment="1">
      <alignment vertical="center" shrinkToFit="1"/>
    </xf>
    <xf numFmtId="0" fontId="32" fillId="0" borderId="7" xfId="0" applyFont="1" applyBorder="1" applyAlignment="1" applyProtection="1">
      <alignment horizontal="center" vertical="center"/>
    </xf>
    <xf numFmtId="0" fontId="32" fillId="0" borderId="8" xfId="0" applyFont="1" applyBorder="1" applyAlignment="1" applyProtection="1">
      <alignment horizontal="center" vertical="center"/>
    </xf>
    <xf numFmtId="0" fontId="33" fillId="0" borderId="6" xfId="0" applyFont="1" applyBorder="1" applyAlignment="1" applyProtection="1">
      <alignment horizontal="center" vertical="center"/>
    </xf>
    <xf numFmtId="0" fontId="8" fillId="0" borderId="7" xfId="0" applyFont="1" applyBorder="1" applyAlignment="1" applyProtection="1">
      <alignment vertical="top" wrapText="1"/>
    </xf>
    <xf numFmtId="0" fontId="0" fillId="0" borderId="8" xfId="0" applyBorder="1" applyAlignment="1">
      <alignment vertical="center"/>
    </xf>
    <xf numFmtId="0" fontId="0" fillId="0" borderId="6" xfId="0" applyBorder="1" applyAlignment="1">
      <alignment vertical="center"/>
    </xf>
    <xf numFmtId="0" fontId="8" fillId="0" borderId="1" xfId="0" applyFont="1" applyBorder="1" applyAlignment="1" applyProtection="1">
      <alignment horizontal="center" vertical="center" wrapText="1"/>
    </xf>
    <xf numFmtId="0" fontId="29" fillId="0" borderId="1" xfId="0" applyFont="1" applyBorder="1" applyAlignment="1" applyProtection="1">
      <alignment vertical="center"/>
    </xf>
    <xf numFmtId="0" fontId="8" fillId="9" borderId="7" xfId="0" applyFont="1" applyFill="1" applyBorder="1" applyAlignment="1" applyProtection="1">
      <alignment horizontal="center" vertical="center"/>
      <protection locked="0"/>
    </xf>
    <xf numFmtId="0" fontId="29" fillId="9" borderId="8" xfId="0" applyFont="1" applyFill="1" applyBorder="1" applyAlignment="1" applyProtection="1">
      <alignment horizontal="center" vertical="center"/>
      <protection locked="0"/>
    </xf>
    <xf numFmtId="0" fontId="29" fillId="9" borderId="6" xfId="0" applyFont="1" applyFill="1" applyBorder="1" applyAlignment="1" applyProtection="1">
      <alignment horizontal="center" vertical="center"/>
      <protection locked="0"/>
    </xf>
    <xf numFmtId="0" fontId="8" fillId="0" borderId="1" xfId="0" applyFont="1" applyBorder="1" applyAlignment="1" applyProtection="1">
      <alignment vertical="center" wrapText="1" shrinkToFit="1"/>
    </xf>
    <xf numFmtId="0" fontId="8" fillId="0" borderId="7" xfId="0" applyFont="1" applyBorder="1" applyAlignment="1" applyProtection="1">
      <alignment horizontal="center" vertical="center"/>
    </xf>
    <xf numFmtId="0" fontId="29" fillId="0" borderId="8" xfId="0" applyFont="1" applyBorder="1" applyAlignment="1" applyProtection="1">
      <alignment horizontal="center" vertical="center"/>
    </xf>
    <xf numFmtId="0" fontId="29" fillId="0" borderId="6" xfId="0" applyFont="1" applyBorder="1" applyAlignment="1" applyProtection="1">
      <alignment horizontal="center" vertical="center"/>
    </xf>
    <xf numFmtId="187" fontId="8" fillId="9" borderId="7" xfId="0" applyNumberFormat="1" applyFont="1" applyFill="1" applyBorder="1" applyAlignment="1" applyProtection="1">
      <alignment horizontal="left" vertical="center"/>
      <protection locked="0"/>
    </xf>
    <xf numFmtId="187" fontId="29" fillId="9" borderId="8" xfId="0" applyNumberFormat="1" applyFont="1" applyFill="1" applyBorder="1" applyAlignment="1" applyProtection="1">
      <alignment horizontal="left" vertical="center"/>
      <protection locked="0"/>
    </xf>
    <xf numFmtId="187" fontId="29" fillId="9" borderId="6" xfId="0" applyNumberFormat="1" applyFont="1" applyFill="1" applyBorder="1" applyAlignment="1" applyProtection="1">
      <alignment horizontal="left" vertical="center"/>
      <protection locked="0"/>
    </xf>
    <xf numFmtId="0" fontId="29" fillId="0" borderId="8" xfId="0" applyFont="1" applyBorder="1" applyAlignment="1" applyProtection="1">
      <alignment vertical="center"/>
    </xf>
    <xf numFmtId="0" fontId="29" fillId="0" borderId="6" xfId="0" applyFont="1" applyBorder="1" applyAlignment="1" applyProtection="1">
      <alignment vertical="center"/>
    </xf>
    <xf numFmtId="0" fontId="52" fillId="0" borderId="8" xfId="0" applyFont="1" applyBorder="1" applyAlignment="1">
      <alignment horizontal="center" vertical="center"/>
    </xf>
    <xf numFmtId="0" fontId="52" fillId="0" borderId="6" xfId="0" applyFont="1" applyBorder="1" applyAlignment="1">
      <alignment horizontal="center" vertical="center"/>
    </xf>
    <xf numFmtId="0" fontId="52" fillId="9" borderId="8" xfId="0" applyFont="1" applyFill="1" applyBorder="1" applyAlignment="1" applyProtection="1">
      <alignment horizontal="center" vertical="center"/>
      <protection locked="0"/>
    </xf>
    <xf numFmtId="0" fontId="52" fillId="9" borderId="6" xfId="0" applyFont="1" applyFill="1" applyBorder="1" applyAlignment="1" applyProtection="1">
      <alignment horizontal="center" vertical="center"/>
      <protection locked="0"/>
    </xf>
    <xf numFmtId="0" fontId="8" fillId="0" borderId="7" xfId="0" applyFont="1" applyBorder="1" applyAlignment="1" applyProtection="1">
      <alignment horizontal="left" vertical="center"/>
    </xf>
    <xf numFmtId="0" fontId="52" fillId="0" borderId="8" xfId="0" applyFont="1" applyBorder="1" applyAlignment="1">
      <alignment horizontal="left" vertical="center"/>
    </xf>
    <xf numFmtId="0" fontId="52" fillId="0" borderId="6" xfId="0" applyFont="1" applyBorder="1" applyAlignment="1">
      <alignment horizontal="left" vertical="center"/>
    </xf>
    <xf numFmtId="49" fontId="8" fillId="9" borderId="41" xfId="0" applyNumberFormat="1" applyFont="1" applyFill="1" applyBorder="1" applyAlignment="1" applyProtection="1">
      <alignment horizontal="center" vertical="center" shrinkToFit="1"/>
      <protection locked="0"/>
    </xf>
    <xf numFmtId="0" fontId="29" fillId="9" borderId="42" xfId="0" applyFont="1" applyFill="1" applyBorder="1" applyAlignment="1" applyProtection="1">
      <alignment vertical="center" shrinkToFit="1"/>
      <protection locked="0"/>
    </xf>
    <xf numFmtId="49" fontId="8" fillId="9" borderId="42" xfId="0" applyNumberFormat="1" applyFont="1" applyFill="1" applyBorder="1" applyAlignment="1" applyProtection="1">
      <alignment horizontal="center" vertical="center" shrinkToFit="1"/>
      <protection locked="0"/>
    </xf>
    <xf numFmtId="0" fontId="29" fillId="9" borderId="43" xfId="0" applyFont="1" applyFill="1" applyBorder="1" applyAlignment="1" applyProtection="1">
      <alignment vertical="center" shrinkToFit="1"/>
      <protection locked="0"/>
    </xf>
    <xf numFmtId="0" fontId="8" fillId="0" borderId="0" xfId="0" applyFont="1" applyBorder="1" applyAlignment="1" applyProtection="1">
      <alignment vertical="center" wrapText="1"/>
    </xf>
    <xf numFmtId="0" fontId="8" fillId="0" borderId="0" xfId="0" applyFont="1" applyBorder="1" applyAlignment="1" applyProtection="1">
      <alignment vertical="center"/>
    </xf>
    <xf numFmtId="0" fontId="8" fillId="0" borderId="5" xfId="0" applyFont="1" applyBorder="1" applyAlignment="1" applyProtection="1">
      <alignment vertical="center"/>
    </xf>
    <xf numFmtId="0" fontId="8" fillId="0" borderId="0" xfId="0" applyFont="1" applyFill="1" applyBorder="1" applyAlignment="1" applyProtection="1">
      <alignment vertical="center" wrapText="1" shrinkToFit="1"/>
    </xf>
    <xf numFmtId="0" fontId="29" fillId="0" borderId="0" xfId="0" applyFont="1" applyAlignment="1" applyProtection="1">
      <alignment vertical="center"/>
    </xf>
    <xf numFmtId="0" fontId="8" fillId="0" borderId="7" xfId="0" applyFont="1" applyBorder="1" applyAlignment="1" applyProtection="1">
      <alignment horizontal="left" vertical="center" shrinkToFit="1"/>
    </xf>
    <xf numFmtId="0" fontId="29" fillId="0" borderId="8" xfId="0" applyFont="1" applyBorder="1" applyAlignment="1" applyProtection="1">
      <alignment horizontal="left" vertical="center" shrinkToFit="1"/>
    </xf>
    <xf numFmtId="0" fontId="29" fillId="0" borderId="7" xfId="0" applyFont="1" applyBorder="1" applyAlignment="1" applyProtection="1">
      <alignment horizontal="left" vertical="center" shrinkToFit="1"/>
    </xf>
    <xf numFmtId="0" fontId="29" fillId="0" borderId="8" xfId="0" applyFont="1" applyBorder="1" applyAlignment="1" applyProtection="1">
      <alignment vertical="center" shrinkToFit="1"/>
    </xf>
    <xf numFmtId="0" fontId="2" fillId="9" borderId="7" xfId="1" applyNumberFormat="1" applyFill="1" applyBorder="1" applyAlignment="1" applyProtection="1">
      <alignment horizontal="left" vertical="center"/>
      <protection locked="0"/>
    </xf>
    <xf numFmtId="0" fontId="8" fillId="9" borderId="8" xfId="0" applyFont="1" applyFill="1" applyBorder="1" applyAlignment="1" applyProtection="1">
      <alignment horizontal="left" vertical="center"/>
      <protection locked="0"/>
    </xf>
    <xf numFmtId="0" fontId="8" fillId="9" borderId="6" xfId="0" applyFont="1" applyFill="1" applyBorder="1" applyAlignment="1" applyProtection="1">
      <alignment horizontal="left" vertical="center"/>
      <protection locked="0"/>
    </xf>
    <xf numFmtId="0" fontId="8" fillId="0" borderId="11"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9" xfId="0" applyFont="1" applyBorder="1" applyAlignment="1" applyProtection="1">
      <alignment horizontal="center" vertical="center"/>
    </xf>
    <xf numFmtId="0" fontId="8" fillId="0" borderId="21" xfId="0" applyFont="1" applyBorder="1" applyAlignment="1" applyProtection="1">
      <alignment horizontal="center" vertical="center"/>
    </xf>
    <xf numFmtId="0" fontId="29" fillId="0" borderId="5" xfId="0" applyFont="1" applyBorder="1" applyAlignment="1" applyProtection="1">
      <alignment horizontal="center" vertical="center"/>
    </xf>
    <xf numFmtId="0" fontId="29" fillId="0" borderId="10" xfId="0" applyFont="1" applyBorder="1" applyAlignment="1" applyProtection="1">
      <alignment horizontal="center" vertical="center"/>
    </xf>
    <xf numFmtId="0" fontId="8" fillId="9" borderId="18" xfId="0" applyFont="1" applyFill="1" applyBorder="1" applyAlignment="1" applyProtection="1">
      <alignment horizontal="left" vertical="center"/>
    </xf>
    <xf numFmtId="0" fontId="29" fillId="9" borderId="19" xfId="0" applyFont="1" applyFill="1" applyBorder="1" applyAlignment="1" applyProtection="1">
      <alignment horizontal="left" vertical="center"/>
    </xf>
    <xf numFmtId="0" fontId="29" fillId="9" borderId="20" xfId="0" applyFont="1" applyFill="1" applyBorder="1" applyAlignment="1" applyProtection="1">
      <alignment horizontal="left" vertical="center"/>
    </xf>
    <xf numFmtId="0" fontId="8" fillId="0" borderId="2" xfId="0" applyFont="1" applyBorder="1" applyAlignment="1" applyProtection="1">
      <alignment vertical="center" shrinkToFit="1"/>
    </xf>
    <xf numFmtId="0" fontId="52" fillId="0" borderId="3" xfId="0" applyFont="1" applyBorder="1" applyAlignment="1">
      <alignment vertical="center" shrinkToFit="1"/>
    </xf>
    <xf numFmtId="0" fontId="52" fillId="0" borderId="4" xfId="0" applyFont="1" applyBorder="1" applyAlignment="1">
      <alignment vertical="center" shrinkToFit="1"/>
    </xf>
    <xf numFmtId="0" fontId="8" fillId="0" borderId="7" xfId="0" applyFont="1" applyBorder="1" applyAlignment="1" applyProtection="1">
      <alignment horizontal="center" vertical="center" wrapText="1"/>
    </xf>
    <xf numFmtId="0" fontId="29" fillId="0" borderId="8" xfId="0" applyFont="1" applyBorder="1" applyAlignment="1" applyProtection="1">
      <alignment horizontal="center" vertical="center" wrapText="1"/>
    </xf>
    <xf numFmtId="0" fontId="29" fillId="0" borderId="6" xfId="0" applyFont="1" applyBorder="1" applyAlignment="1" applyProtection="1">
      <alignment horizontal="center" vertical="center" wrapText="1"/>
    </xf>
    <xf numFmtId="0" fontId="8" fillId="0" borderId="7" xfId="0" applyFont="1" applyBorder="1" applyAlignment="1" applyProtection="1">
      <alignment vertical="center" wrapText="1"/>
    </xf>
    <xf numFmtId="0" fontId="29" fillId="0" borderId="8" xfId="0" applyFont="1" applyBorder="1" applyAlignment="1" applyProtection="1">
      <alignment vertical="center" wrapText="1"/>
    </xf>
    <xf numFmtId="0" fontId="29" fillId="0" borderId="6" xfId="0" applyFont="1" applyBorder="1" applyAlignment="1" applyProtection="1">
      <alignment vertical="center" wrapText="1"/>
    </xf>
    <xf numFmtId="0" fontId="8" fillId="0" borderId="1" xfId="0" applyFont="1" applyBorder="1" applyAlignment="1" applyProtection="1">
      <alignment horizontal="center" vertical="center" shrinkToFit="1"/>
    </xf>
    <xf numFmtId="0" fontId="29" fillId="0" borderId="1" xfId="0" applyFont="1" applyBorder="1" applyAlignment="1" applyProtection="1">
      <alignment horizontal="center" vertical="center" shrinkToFit="1"/>
    </xf>
    <xf numFmtId="0" fontId="8" fillId="0" borderId="1" xfId="0" applyFont="1" applyBorder="1" applyAlignment="1" applyProtection="1">
      <alignment vertical="center" shrinkToFit="1"/>
    </xf>
    <xf numFmtId="0" fontId="29" fillId="0" borderId="1" xfId="0" applyFont="1" applyBorder="1" applyAlignment="1" applyProtection="1">
      <alignment vertical="center" shrinkToFit="1"/>
    </xf>
    <xf numFmtId="0" fontId="8" fillId="9" borderId="7" xfId="0" applyFont="1" applyFill="1" applyBorder="1" applyAlignment="1" applyProtection="1">
      <alignment horizontal="left" vertical="center"/>
      <protection locked="0"/>
    </xf>
    <xf numFmtId="0" fontId="29" fillId="9" borderId="8" xfId="0" applyFont="1" applyFill="1" applyBorder="1" applyAlignment="1" applyProtection="1">
      <alignment horizontal="left" vertical="center"/>
      <protection locked="0"/>
    </xf>
    <xf numFmtId="0" fontId="29" fillId="9" borderId="6" xfId="0" applyFont="1" applyFill="1" applyBorder="1" applyAlignment="1" applyProtection="1">
      <alignment horizontal="left" vertical="center"/>
      <protection locked="0"/>
    </xf>
    <xf numFmtId="0" fontId="8" fillId="0" borderId="8" xfId="0" applyFont="1" applyBorder="1" applyAlignment="1" applyProtection="1">
      <alignment horizontal="center" vertical="center"/>
    </xf>
    <xf numFmtId="0" fontId="8" fillId="0" borderId="8" xfId="0" applyFont="1" applyBorder="1" applyAlignment="1" applyProtection="1">
      <alignment vertical="center" wrapText="1"/>
    </xf>
    <xf numFmtId="0" fontId="8" fillId="0" borderId="6" xfId="0" applyFont="1" applyBorder="1" applyAlignment="1" applyProtection="1">
      <alignment vertical="center" wrapText="1"/>
    </xf>
    <xf numFmtId="192" fontId="8" fillId="9" borderId="8" xfId="0" applyNumberFormat="1" applyFont="1" applyFill="1" applyBorder="1" applyAlignment="1" applyProtection="1">
      <alignment horizontal="center" vertical="center" shrinkToFit="1"/>
      <protection locked="0"/>
    </xf>
    <xf numFmtId="0" fontId="30" fillId="0" borderId="7" xfId="0" applyFont="1" applyBorder="1" applyAlignment="1" applyProtection="1">
      <alignment horizontal="center" vertical="center" wrapText="1"/>
    </xf>
    <xf numFmtId="0" fontId="30" fillId="0" borderId="8" xfId="0" applyFont="1" applyBorder="1" applyAlignment="1">
      <alignment horizontal="center" vertical="center"/>
    </xf>
    <xf numFmtId="0" fontId="8" fillId="0" borderId="8" xfId="0" applyFont="1" applyBorder="1" applyAlignment="1" applyProtection="1">
      <alignment vertical="center"/>
    </xf>
    <xf numFmtId="0" fontId="8" fillId="0" borderId="41" xfId="0" applyFont="1" applyBorder="1" applyAlignment="1" applyProtection="1">
      <alignment horizontal="center" vertical="center"/>
    </xf>
    <xf numFmtId="0" fontId="8" fillId="0" borderId="42" xfId="0" applyFont="1" applyBorder="1" applyAlignment="1" applyProtection="1">
      <alignment horizontal="center" vertical="center"/>
    </xf>
    <xf numFmtId="0" fontId="29" fillId="0" borderId="8" xfId="0" applyFont="1" applyBorder="1" applyAlignment="1" applyProtection="1">
      <alignment vertical="top" wrapText="1"/>
    </xf>
    <xf numFmtId="0" fontId="29" fillId="0" borderId="6" xfId="0" applyFont="1" applyBorder="1" applyAlignment="1" applyProtection="1">
      <alignment vertical="top" wrapText="1"/>
    </xf>
    <xf numFmtId="0" fontId="8" fillId="0" borderId="7" xfId="0" applyFont="1" applyBorder="1" applyAlignment="1" applyProtection="1">
      <alignment horizontal="left" vertical="center" wrapText="1"/>
    </xf>
    <xf numFmtId="0" fontId="29" fillId="0" borderId="1" xfId="0" applyFont="1" applyBorder="1" applyAlignment="1" applyProtection="1">
      <alignment vertical="center" wrapText="1" shrinkToFit="1"/>
    </xf>
    <xf numFmtId="0" fontId="8" fillId="0" borderId="8" xfId="0" applyFont="1" applyBorder="1" applyAlignment="1">
      <alignment horizontal="center" vertical="center"/>
    </xf>
    <xf numFmtId="0" fontId="8" fillId="0" borderId="6" xfId="0" applyFont="1" applyBorder="1" applyAlignment="1">
      <alignment horizontal="center" vertical="center"/>
    </xf>
    <xf numFmtId="0" fontId="8" fillId="0" borderId="2" xfId="0" applyFont="1" applyBorder="1" applyAlignment="1" applyProtection="1">
      <alignment vertical="center" textRotation="255"/>
    </xf>
    <xf numFmtId="0" fontId="8" fillId="0" borderId="3" xfId="0" applyFont="1" applyBorder="1" applyAlignment="1">
      <alignment vertical="center" textRotation="255"/>
    </xf>
    <xf numFmtId="0" fontId="8" fillId="0" borderId="4" xfId="0" applyFont="1" applyBorder="1" applyAlignment="1">
      <alignment vertical="center" textRotation="255"/>
    </xf>
    <xf numFmtId="0" fontId="8" fillId="0" borderId="7" xfId="0" applyFont="1" applyFill="1" applyBorder="1" applyAlignment="1" applyProtection="1">
      <alignment horizontal="center" vertical="center"/>
    </xf>
    <xf numFmtId="0" fontId="8" fillId="9" borderId="21" xfId="0" applyFont="1" applyFill="1" applyBorder="1" applyAlignment="1" applyProtection="1">
      <alignment horizontal="left" vertical="center"/>
    </xf>
    <xf numFmtId="0" fontId="29" fillId="9" borderId="5" xfId="0" applyFont="1" applyFill="1" applyBorder="1" applyAlignment="1" applyProtection="1">
      <alignment horizontal="left" vertical="center"/>
    </xf>
    <xf numFmtId="0" fontId="29" fillId="9" borderId="10" xfId="0" applyFont="1" applyFill="1" applyBorder="1" applyAlignment="1" applyProtection="1">
      <alignment horizontal="left" vertical="center"/>
    </xf>
    <xf numFmtId="0" fontId="8" fillId="9" borderId="11" xfId="0" applyFont="1" applyFill="1" applyBorder="1" applyAlignment="1" applyProtection="1">
      <alignment horizontal="left" vertical="center"/>
    </xf>
    <xf numFmtId="0" fontId="29" fillId="9" borderId="0" xfId="0" applyFont="1" applyFill="1" applyBorder="1" applyAlignment="1" applyProtection="1">
      <alignment horizontal="left" vertical="center"/>
    </xf>
    <xf numFmtId="0" fontId="29" fillId="9" borderId="9" xfId="0" applyFont="1" applyFill="1" applyBorder="1" applyAlignment="1" applyProtection="1">
      <alignment horizontal="left" vertical="center"/>
    </xf>
    <xf numFmtId="0" fontId="29" fillId="0" borderId="6" xfId="0" applyFont="1" applyBorder="1" applyAlignment="1" applyProtection="1">
      <alignment horizontal="left" vertical="center" shrinkToFit="1"/>
    </xf>
    <xf numFmtId="0" fontId="31" fillId="0" borderId="7" xfId="0" applyFont="1" applyBorder="1" applyAlignment="1" applyProtection="1">
      <alignment horizontal="left" vertical="center" wrapText="1" shrinkToFit="1"/>
    </xf>
    <xf numFmtId="0" fontId="29" fillId="0" borderId="8" xfId="0" applyFont="1" applyBorder="1" applyAlignment="1" applyProtection="1">
      <alignment horizontal="left" vertical="center" wrapText="1" shrinkToFit="1"/>
    </xf>
    <xf numFmtId="0" fontId="29" fillId="0" borderId="6" xfId="0" applyFont="1" applyBorder="1" applyAlignment="1" applyProtection="1">
      <alignment horizontal="left" vertical="center" wrapText="1" shrinkToFit="1"/>
    </xf>
    <xf numFmtId="0" fontId="7" fillId="0" borderId="0" xfId="0" applyFont="1" applyBorder="1" applyAlignment="1" applyProtection="1">
      <alignment horizontal="right" vertical="center" shrinkToFit="1"/>
    </xf>
    <xf numFmtId="0" fontId="0" fillId="0" borderId="0" xfId="0" applyAlignment="1">
      <alignment horizontal="right" vertical="center" shrinkToFit="1"/>
    </xf>
    <xf numFmtId="0" fontId="22" fillId="0" borderId="6" xfId="0" applyFont="1" applyBorder="1" applyAlignment="1" applyProtection="1">
      <alignment horizontal="center" vertical="center" shrinkToFit="1"/>
    </xf>
    <xf numFmtId="0" fontId="17" fillId="0" borderId="1" xfId="0" applyFont="1" applyBorder="1" applyAlignment="1" applyProtection="1">
      <alignment vertical="center" shrinkToFit="1"/>
    </xf>
    <xf numFmtId="0" fontId="22" fillId="0" borderId="8" xfId="0" applyFont="1" applyBorder="1" applyAlignment="1" applyProtection="1">
      <alignment horizontal="center" vertical="center"/>
    </xf>
    <xf numFmtId="0" fontId="17" fillId="0" borderId="8" xfId="0" applyFont="1" applyBorder="1" applyAlignment="1" applyProtection="1">
      <alignment horizontal="center" vertical="center"/>
    </xf>
    <xf numFmtId="0" fontId="17" fillId="0" borderId="6"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7" fillId="0" borderId="1" xfId="0" applyFont="1" applyFill="1" applyBorder="1" applyAlignment="1" applyProtection="1">
      <alignment horizontal="center" vertical="center" shrinkToFit="1"/>
    </xf>
    <xf numFmtId="0" fontId="17" fillId="0" borderId="1" xfId="0" applyFont="1" applyFill="1" applyBorder="1" applyAlignment="1" applyProtection="1">
      <alignment vertical="center" shrinkToFit="1"/>
    </xf>
    <xf numFmtId="0" fontId="18" fillId="0" borderId="0" xfId="0" applyFont="1" applyAlignment="1" applyProtection="1">
      <alignment horizontal="center" vertical="center" wrapText="1"/>
    </xf>
    <xf numFmtId="0" fontId="18" fillId="0" borderId="0" xfId="0" applyFont="1" applyAlignment="1" applyProtection="1">
      <alignment horizontal="center" vertical="center"/>
    </xf>
    <xf numFmtId="0" fontId="17" fillId="0" borderId="1" xfId="0" applyFont="1" applyFill="1" applyBorder="1" applyAlignment="1" applyProtection="1">
      <alignment horizontal="left" vertical="center" wrapText="1" shrinkToFit="1"/>
    </xf>
    <xf numFmtId="0" fontId="17" fillId="0" borderId="7" xfId="0" applyFont="1" applyBorder="1" applyAlignment="1" applyProtection="1">
      <alignment vertical="center" shrinkToFit="1"/>
    </xf>
    <xf numFmtId="0" fontId="7" fillId="0" borderId="8" xfId="0" applyFont="1" applyBorder="1" applyAlignment="1" applyProtection="1">
      <alignment vertical="center"/>
    </xf>
    <xf numFmtId="0" fontId="17" fillId="0" borderId="18" xfId="0" applyFont="1" applyFill="1" applyBorder="1" applyAlignment="1" applyProtection="1">
      <alignment horizontal="left" vertical="center" shrinkToFit="1"/>
    </xf>
    <xf numFmtId="0" fontId="17" fillId="0" borderId="19" xfId="0" applyFont="1" applyFill="1" applyBorder="1" applyAlignment="1" applyProtection="1">
      <alignment horizontal="left" vertical="center" shrinkToFit="1"/>
    </xf>
    <xf numFmtId="0" fontId="7" fillId="0" borderId="19" xfId="0" applyFont="1" applyBorder="1" applyAlignment="1" applyProtection="1">
      <alignment horizontal="left" vertical="center" shrinkToFit="1"/>
    </xf>
    <xf numFmtId="0" fontId="7" fillId="0" borderId="20" xfId="0" applyFont="1" applyBorder="1" applyAlignment="1" applyProtection="1">
      <alignment horizontal="left" vertical="center" shrinkToFit="1"/>
    </xf>
    <xf numFmtId="0" fontId="17" fillId="0" borderId="21" xfId="0" applyFont="1" applyFill="1" applyBorder="1" applyAlignment="1" applyProtection="1">
      <alignment horizontal="left" vertical="center" shrinkToFit="1"/>
    </xf>
    <xf numFmtId="0" fontId="17" fillId="0" borderId="5" xfId="0" applyFont="1" applyFill="1" applyBorder="1" applyAlignment="1" applyProtection="1">
      <alignment horizontal="left" vertical="center" shrinkToFit="1"/>
    </xf>
    <xf numFmtId="0" fontId="7" fillId="0" borderId="5" xfId="0" applyFont="1" applyBorder="1" applyAlignment="1" applyProtection="1">
      <alignment horizontal="left" vertical="center" shrinkToFit="1"/>
    </xf>
    <xf numFmtId="0" fontId="7" fillId="0" borderId="10" xfId="0" applyFont="1" applyBorder="1" applyAlignment="1" applyProtection="1">
      <alignment horizontal="left" vertical="center" shrinkToFit="1"/>
    </xf>
    <xf numFmtId="0" fontId="25" fillId="0" borderId="1" xfId="1" applyFont="1" applyFill="1" applyBorder="1" applyAlignment="1" applyProtection="1">
      <alignment vertical="center" shrinkToFit="1"/>
    </xf>
    <xf numFmtId="0" fontId="17" fillId="0" borderId="0" xfId="0" applyFont="1" applyAlignment="1" applyProtection="1">
      <alignment shrinkToFit="1"/>
    </xf>
    <xf numFmtId="0" fontId="7" fillId="0" borderId="0" xfId="0" applyFont="1" applyAlignment="1" applyProtection="1">
      <alignment shrinkToFit="1"/>
    </xf>
    <xf numFmtId="0" fontId="7" fillId="0" borderId="0" xfId="0" applyFont="1" applyAlignment="1" applyProtection="1"/>
    <xf numFmtId="0" fontId="17" fillId="0" borderId="1" xfId="0" applyFont="1" applyBorder="1" applyAlignment="1" applyProtection="1">
      <alignment horizontal="center" vertical="center" textRotation="255" shrinkToFit="1"/>
    </xf>
    <xf numFmtId="0" fontId="17" fillId="0" borderId="1" xfId="0" applyFont="1" applyBorder="1" applyAlignment="1" applyProtection="1">
      <alignment vertical="center"/>
    </xf>
    <xf numFmtId="0" fontId="22" fillId="0" borderId="7" xfId="0" applyFont="1" applyFill="1" applyBorder="1" applyAlignment="1" applyProtection="1">
      <alignment horizontal="left" vertical="center" shrinkToFit="1"/>
    </xf>
    <xf numFmtId="0" fontId="7" fillId="0" borderId="8" xfId="0" applyFont="1" applyFill="1" applyBorder="1" applyAlignment="1" applyProtection="1">
      <alignment horizontal="left" vertical="center" shrinkToFit="1"/>
    </xf>
    <xf numFmtId="0" fontId="7" fillId="0" borderId="6" xfId="0" applyFont="1" applyFill="1" applyBorder="1" applyAlignment="1" applyProtection="1">
      <alignment horizontal="left" vertical="center" shrinkToFit="1"/>
    </xf>
    <xf numFmtId="0" fontId="17" fillId="0" borderId="8" xfId="0" applyFont="1" applyBorder="1" applyAlignment="1" applyProtection="1">
      <alignment vertical="center"/>
    </xf>
    <xf numFmtId="0" fontId="22" fillId="0" borderId="8" xfId="0" applyFont="1" applyBorder="1" applyAlignment="1" applyProtection="1">
      <alignment horizontal="center" vertical="center" shrinkToFit="1"/>
    </xf>
    <xf numFmtId="0" fontId="17" fillId="0" borderId="8" xfId="0" applyFont="1" applyBorder="1" applyAlignment="1" applyProtection="1">
      <alignment horizontal="center" vertical="center" shrinkToFit="1"/>
    </xf>
    <xf numFmtId="0" fontId="17" fillId="0" borderId="6" xfId="0" applyFont="1" applyBorder="1" applyAlignment="1" applyProtection="1">
      <alignment horizontal="center" vertical="center" shrinkToFit="1"/>
    </xf>
    <xf numFmtId="0" fontId="17" fillId="0" borderId="8" xfId="0" applyFont="1" applyBorder="1" applyAlignment="1" applyProtection="1">
      <alignment vertical="center" shrinkToFit="1"/>
    </xf>
    <xf numFmtId="0" fontId="20" fillId="0" borderId="12" xfId="0" applyFont="1" applyBorder="1" applyAlignment="1" applyProtection="1">
      <alignment horizontal="center" vertical="center" wrapText="1"/>
    </xf>
    <xf numFmtId="0" fontId="20" fillId="0" borderId="37" xfId="0" applyFont="1" applyBorder="1" applyAlignment="1" applyProtection="1">
      <alignment horizontal="center" vertical="center"/>
    </xf>
    <xf numFmtId="0" fontId="20" fillId="0" borderId="38" xfId="0" applyFont="1" applyBorder="1" applyAlignment="1" applyProtection="1">
      <alignment horizontal="center" vertical="center"/>
    </xf>
    <xf numFmtId="0" fontId="20" fillId="0" borderId="39" xfId="0" applyFont="1" applyBorder="1" applyAlignment="1" applyProtection="1">
      <alignment horizontal="center" vertical="center"/>
    </xf>
    <xf numFmtId="0" fontId="20" fillId="0" borderId="0" xfId="0" applyFont="1" applyBorder="1" applyAlignment="1" applyProtection="1">
      <alignment horizontal="center" vertical="center"/>
    </xf>
    <xf numFmtId="0" fontId="20" fillId="0" borderId="40" xfId="0" applyFont="1" applyBorder="1" applyAlignment="1" applyProtection="1">
      <alignment horizontal="center" vertical="center"/>
    </xf>
    <xf numFmtId="0" fontId="20" fillId="0" borderId="44" xfId="0" applyFont="1" applyBorder="1" applyAlignment="1" applyProtection="1">
      <alignment horizontal="center" vertical="center"/>
    </xf>
    <xf numFmtId="0" fontId="20" fillId="0" borderId="45" xfId="0" applyFont="1" applyBorder="1" applyAlignment="1" applyProtection="1">
      <alignment horizontal="center" vertical="center"/>
    </xf>
    <xf numFmtId="0" fontId="20" fillId="0" borderId="46" xfId="0" applyFont="1" applyBorder="1" applyAlignment="1" applyProtection="1">
      <alignment horizontal="center" vertical="center"/>
    </xf>
    <xf numFmtId="0" fontId="14" fillId="0" borderId="19" xfId="0" applyFont="1" applyBorder="1" applyAlignment="1" applyProtection="1">
      <alignment horizontal="left" vertical="center"/>
    </xf>
    <xf numFmtId="0" fontId="10" fillId="0" borderId="0" xfId="0" applyFont="1" applyBorder="1" applyAlignment="1" applyProtection="1">
      <alignment horizontal="left" vertical="center"/>
    </xf>
    <xf numFmtId="0" fontId="17" fillId="0" borderId="7" xfId="0" applyFont="1" applyFill="1" applyBorder="1" applyAlignment="1" applyProtection="1">
      <alignment vertical="center" shrinkToFit="1"/>
    </xf>
    <xf numFmtId="0" fontId="17" fillId="0" borderId="8" xfId="0" applyFont="1" applyFill="1" applyBorder="1" applyAlignment="1" applyProtection="1">
      <alignment vertical="center" shrinkToFit="1"/>
    </xf>
    <xf numFmtId="0" fontId="17" fillId="0" borderId="6" xfId="0" applyFont="1" applyFill="1" applyBorder="1" applyAlignment="1" applyProtection="1">
      <alignment vertical="center" shrinkToFit="1"/>
    </xf>
    <xf numFmtId="0" fontId="22" fillId="0" borderId="8" xfId="0" applyFont="1" applyBorder="1" applyAlignment="1" applyProtection="1">
      <alignment vertical="center" shrinkToFit="1"/>
    </xf>
    <xf numFmtId="0" fontId="17" fillId="0" borderId="7" xfId="0" applyFont="1" applyFill="1" applyBorder="1" applyAlignment="1" applyProtection="1">
      <alignment horizontal="center" vertical="center"/>
    </xf>
    <xf numFmtId="0" fontId="17" fillId="0" borderId="6" xfId="0" applyFont="1" applyFill="1" applyBorder="1" applyAlignment="1" applyProtection="1">
      <alignment horizontal="center" vertical="center"/>
    </xf>
    <xf numFmtId="0" fontId="22" fillId="0" borderId="7" xfId="0" applyFont="1" applyFill="1" applyBorder="1" applyAlignment="1" applyProtection="1">
      <alignment vertical="center"/>
    </xf>
    <xf numFmtId="0" fontId="17" fillId="0" borderId="8" xfId="0" applyFont="1" applyFill="1" applyBorder="1" applyAlignment="1" applyProtection="1">
      <alignment vertical="center"/>
    </xf>
    <xf numFmtId="0" fontId="17" fillId="0" borderId="18" xfId="0" applyFont="1" applyFill="1" applyBorder="1" applyAlignment="1" applyProtection="1">
      <alignment vertical="center" shrinkToFit="1"/>
    </xf>
    <xf numFmtId="0" fontId="17" fillId="0" borderId="19" xfId="0" applyFont="1" applyFill="1" applyBorder="1" applyAlignment="1" applyProtection="1">
      <alignment vertical="center"/>
    </xf>
    <xf numFmtId="0" fontId="17" fillId="0" borderId="7" xfId="0" applyFont="1" applyFill="1" applyBorder="1" applyAlignment="1" applyProtection="1">
      <alignment horizontal="left" vertical="center" shrinkToFit="1"/>
    </xf>
    <xf numFmtId="0" fontId="17" fillId="0" borderId="8" xfId="0" applyFont="1" applyFill="1" applyBorder="1" applyAlignment="1" applyProtection="1">
      <alignment horizontal="left" vertical="center" shrinkToFit="1"/>
    </xf>
    <xf numFmtId="193" fontId="17" fillId="0" borderId="0" xfId="0" applyNumberFormat="1" applyFont="1" applyBorder="1" applyAlignment="1">
      <alignment horizontal="right" vertical="center" shrinkToFit="1"/>
    </xf>
    <xf numFmtId="0" fontId="13" fillId="0" borderId="0" xfId="0" applyFont="1" applyAlignment="1">
      <alignment vertical="center" shrinkToFit="1"/>
    </xf>
    <xf numFmtId="0" fontId="40" fillId="0" borderId="0" xfId="0" applyFont="1" applyAlignment="1">
      <alignment vertical="center" shrinkToFit="1"/>
    </xf>
    <xf numFmtId="0" fontId="41" fillId="0" borderId="0" xfId="0" applyFont="1" applyAlignment="1">
      <alignment vertical="center" shrinkToFit="1"/>
    </xf>
    <xf numFmtId="0" fontId="42" fillId="0" borderId="0" xfId="0" applyFont="1" applyAlignment="1">
      <alignment horizontal="center" vertical="center"/>
    </xf>
    <xf numFmtId="0" fontId="43" fillId="0" borderId="0" xfId="0" applyFont="1" applyAlignment="1">
      <alignment horizontal="center" vertical="center"/>
    </xf>
    <xf numFmtId="0" fontId="40" fillId="0" borderId="0" xfId="0" applyFont="1" applyAlignment="1">
      <alignment vertical="center"/>
    </xf>
    <xf numFmtId="0" fontId="0" fillId="0" borderId="0" xfId="0" applyAlignment="1">
      <alignment vertical="center"/>
    </xf>
    <xf numFmtId="0" fontId="20" fillId="0" borderId="2" xfId="0" applyFont="1" applyBorder="1" applyAlignment="1">
      <alignment horizontal="center" vertical="center"/>
    </xf>
    <xf numFmtId="0" fontId="20" fillId="0" borderId="2" xfId="0" applyFont="1" applyBorder="1" applyAlignment="1">
      <alignment horizontal="left" vertical="center" wrapText="1"/>
    </xf>
    <xf numFmtId="0" fontId="0" fillId="0" borderId="4" xfId="0" applyBorder="1" applyAlignment="1">
      <alignment vertical="center" wrapText="1"/>
    </xf>
    <xf numFmtId="0" fontId="40" fillId="0" borderId="1" xfId="0" applyFont="1" applyBorder="1" applyAlignment="1">
      <alignment horizontal="distributed" vertical="center"/>
    </xf>
    <xf numFmtId="0" fontId="0" fillId="0" borderId="1" xfId="0" applyBorder="1" applyAlignment="1">
      <alignment horizontal="distributed" vertical="center"/>
    </xf>
    <xf numFmtId="0" fontId="40" fillId="0" borderId="1" xfId="0" applyFont="1" applyBorder="1" applyAlignment="1">
      <alignment horizontal="center" vertical="center"/>
    </xf>
    <xf numFmtId="0" fontId="0" fillId="0" borderId="1" xfId="0" applyBorder="1" applyAlignment="1">
      <alignment horizontal="center" vertical="center"/>
    </xf>
    <xf numFmtId="49" fontId="40" fillId="3" borderId="1" xfId="0" applyNumberFormat="1" applyFont="1" applyFill="1" applyBorder="1" applyAlignment="1" applyProtection="1">
      <alignment horizontal="center" vertical="center"/>
      <protection locked="0"/>
    </xf>
    <xf numFmtId="49" fontId="0" fillId="3" borderId="1" xfId="0" applyNumberFormat="1" applyFill="1" applyBorder="1" applyAlignment="1" applyProtection="1">
      <alignment horizontal="center" vertical="center"/>
      <protection locked="0"/>
    </xf>
    <xf numFmtId="0" fontId="40" fillId="0" borderId="0" xfId="0" applyFont="1" applyAlignment="1">
      <alignment vertical="center" wrapText="1"/>
    </xf>
    <xf numFmtId="0" fontId="0" fillId="0" borderId="0" xfId="0" applyAlignment="1">
      <alignment vertical="center" wrapText="1"/>
    </xf>
    <xf numFmtId="0" fontId="40" fillId="0" borderId="0" xfId="0" applyFont="1" applyAlignment="1">
      <alignment horizontal="center" vertical="center"/>
    </xf>
    <xf numFmtId="0" fontId="0" fillId="0" borderId="0" xfId="0" applyAlignment="1">
      <alignment horizontal="center" vertical="center"/>
    </xf>
    <xf numFmtId="0" fontId="40" fillId="0" borderId="0" xfId="0" applyFont="1" applyAlignment="1">
      <alignment horizontal="distributed" vertical="center" wrapText="1"/>
    </xf>
    <xf numFmtId="0" fontId="41" fillId="0" borderId="0" xfId="0" applyFont="1" applyAlignment="1">
      <alignment horizontal="distributed" vertical="center" wrapText="1"/>
    </xf>
    <xf numFmtId="193" fontId="7" fillId="0" borderId="0" xfId="0" applyNumberFormat="1" applyFont="1" applyBorder="1" applyAlignment="1">
      <alignment horizontal="right" vertical="center" shrinkToFit="1"/>
    </xf>
    <xf numFmtId="0" fontId="7" fillId="0" borderId="0" xfId="0" applyFont="1" applyAlignment="1">
      <alignment vertical="center" shrinkToFit="1"/>
    </xf>
    <xf numFmtId="0" fontId="0" fillId="0" borderId="0" xfId="0" applyAlignment="1">
      <alignment vertical="center" shrinkToFit="1"/>
    </xf>
    <xf numFmtId="186" fontId="7" fillId="0" borderId="0" xfId="0" applyNumberFormat="1" applyFont="1" applyAlignment="1">
      <alignment horizontal="distributed" vertical="top" shrinkToFit="1"/>
    </xf>
    <xf numFmtId="0" fontId="0" fillId="0" borderId="0" xfId="0" applyAlignment="1">
      <alignment horizontal="distributed" vertical="top" shrinkToFit="1"/>
    </xf>
    <xf numFmtId="0" fontId="0" fillId="0" borderId="0" xfId="0" applyAlignment="1">
      <alignment vertical="top" shrinkToFit="1"/>
    </xf>
    <xf numFmtId="188" fontId="7" fillId="0" borderId="0" xfId="0" applyNumberFormat="1" applyFont="1" applyAlignment="1">
      <alignment horizontal="distributed" vertical="top" shrinkToFit="1"/>
    </xf>
    <xf numFmtId="185" fontId="7" fillId="0" borderId="0" xfId="0" applyNumberFormat="1" applyFont="1" applyAlignment="1">
      <alignment horizontal="distributed" vertical="top" shrinkToFit="1"/>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horizontal="distributed" vertical="center" shrinkToFit="1"/>
    </xf>
    <xf numFmtId="186" fontId="8" fillId="0" borderId="0" xfId="0" applyNumberFormat="1" applyFont="1" applyAlignment="1">
      <alignment horizontal="left" vertical="top" wrapText="1"/>
    </xf>
    <xf numFmtId="0" fontId="29" fillId="0" borderId="0" xfId="0" applyFont="1" applyAlignment="1">
      <alignment horizontal="left" vertical="center"/>
    </xf>
    <xf numFmtId="0" fontId="7" fillId="0" borderId="0" xfId="0" applyFont="1" applyFill="1" applyAlignment="1">
      <alignment horizontal="left" vertical="center" indent="1" shrinkToFit="1"/>
    </xf>
    <xf numFmtId="177" fontId="7" fillId="0" borderId="0" xfId="0" applyNumberFormat="1" applyFont="1" applyAlignment="1">
      <alignment horizontal="distributed" vertical="center"/>
    </xf>
    <xf numFmtId="0" fontId="7" fillId="0" borderId="0" xfId="0" applyFont="1" applyAlignment="1">
      <alignment horizontal="distributed" vertical="center"/>
    </xf>
    <xf numFmtId="0" fontId="0" fillId="0" borderId="0" xfId="0" applyAlignment="1">
      <alignment horizontal="distributed" vertical="center"/>
    </xf>
    <xf numFmtId="0" fontId="7" fillId="0" borderId="0" xfId="0" applyFont="1" applyAlignment="1">
      <alignment horizontal="center" vertical="center" shrinkToFit="1"/>
    </xf>
    <xf numFmtId="0" fontId="7" fillId="0" borderId="0" xfId="0" applyFont="1" applyAlignment="1">
      <alignment horizontal="left" vertical="distributed" wrapText="1"/>
    </xf>
    <xf numFmtId="0" fontId="8"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Fill="1" applyAlignment="1">
      <alignment horizontal="left" vertical="center" shrinkToFit="1"/>
    </xf>
    <xf numFmtId="0" fontId="7" fillId="0" borderId="0" xfId="0" applyFont="1" applyAlignment="1">
      <alignment horizontal="left" vertical="center" shrinkToFit="1"/>
    </xf>
    <xf numFmtId="0" fontId="0" fillId="0" borderId="0" xfId="0" applyBorder="1" applyAlignment="1" applyProtection="1">
      <alignment vertical="center"/>
      <protection locked="0"/>
    </xf>
    <xf numFmtId="0" fontId="9" fillId="0" borderId="0" xfId="0" applyFont="1" applyAlignment="1" applyProtection="1">
      <alignment horizontal="distributed" shrinkToFit="1"/>
      <protection locked="0"/>
    </xf>
    <xf numFmtId="0" fontId="9" fillId="0" borderId="0" xfId="0" applyFont="1" applyAlignment="1" applyProtection="1">
      <alignment horizontal="center" shrinkToFit="1"/>
      <protection locked="0"/>
    </xf>
    <xf numFmtId="0" fontId="9" fillId="0" borderId="0" xfId="0" applyFont="1" applyAlignment="1">
      <alignment horizontal="center" shrinkToFit="1"/>
    </xf>
    <xf numFmtId="0" fontId="45" fillId="0" borderId="0" xfId="0" applyFont="1" applyAlignment="1">
      <alignment vertical="top" wrapText="1"/>
    </xf>
    <xf numFmtId="0" fontId="46" fillId="0" borderId="0" xfId="0" applyFont="1" applyAlignment="1">
      <alignment vertical="top" wrapText="1"/>
    </xf>
    <xf numFmtId="0" fontId="7" fillId="0" borderId="0" xfId="0" applyFont="1" applyAlignment="1">
      <alignment vertical="distributed" wrapText="1"/>
    </xf>
    <xf numFmtId="0" fontId="0" fillId="0" borderId="0" xfId="0" applyAlignment="1">
      <alignment vertical="distributed" wrapText="1"/>
    </xf>
    <xf numFmtId="0" fontId="0" fillId="0" borderId="0" xfId="0" applyBorder="1" applyAlignment="1">
      <alignment vertical="distributed" wrapText="1"/>
    </xf>
    <xf numFmtId="0" fontId="30" fillId="0" borderId="0" xfId="0" applyFont="1" applyBorder="1" applyAlignment="1">
      <alignment vertical="center" wrapText="1"/>
    </xf>
    <xf numFmtId="0" fontId="7" fillId="0" borderId="0" xfId="0" applyFont="1" applyBorder="1" applyAlignment="1">
      <alignment vertical="center"/>
    </xf>
    <xf numFmtId="0" fontId="7" fillId="0" borderId="0" xfId="0" applyFont="1" applyAlignment="1">
      <alignment horizontal="left" vertical="center" indent="1"/>
    </xf>
    <xf numFmtId="195" fontId="7" fillId="0" borderId="0" xfId="0" applyNumberFormat="1" applyFont="1" applyBorder="1" applyAlignment="1" applyProtection="1">
      <alignment horizontal="right" vertical="center" shrinkToFit="1"/>
    </xf>
    <xf numFmtId="0" fontId="7" fillId="0" borderId="1" xfId="0" applyFont="1" applyBorder="1" applyAlignment="1" applyProtection="1">
      <alignment horizontal="center" vertical="center"/>
    </xf>
    <xf numFmtId="0" fontId="7" fillId="0" borderId="2"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0" fillId="0" borderId="4" xfId="0" applyBorder="1" applyAlignment="1">
      <alignment horizontal="center" vertical="center" wrapText="1"/>
    </xf>
    <xf numFmtId="0" fontId="7" fillId="0" borderId="0" xfId="0" applyFont="1" applyBorder="1" applyAlignment="1" applyProtection="1">
      <alignment horizontal="center" vertical="center" shrinkToFit="1"/>
    </xf>
    <xf numFmtId="0" fontId="0" fillId="0" borderId="0" xfId="0" applyAlignment="1" applyProtection="1">
      <alignment vertical="center" shrinkToFit="1"/>
    </xf>
    <xf numFmtId="177" fontId="7" fillId="0" borderId="5" xfId="0" applyNumberFormat="1" applyFont="1" applyFill="1" applyBorder="1" applyAlignment="1" applyProtection="1">
      <alignment horizontal="center" vertical="center"/>
    </xf>
    <xf numFmtId="0" fontId="7" fillId="0" borderId="2" xfId="0" applyFont="1" applyBorder="1" applyAlignment="1" applyProtection="1">
      <alignment horizontal="left" vertical="center" wrapText="1"/>
    </xf>
    <xf numFmtId="0" fontId="7" fillId="0" borderId="4" xfId="0" applyFont="1" applyBorder="1" applyAlignment="1" applyProtection="1">
      <alignment horizontal="left" vertical="center" wrapText="1"/>
    </xf>
    <xf numFmtId="0" fontId="7" fillId="0" borderId="0" xfId="0" applyFont="1" applyAlignment="1" applyProtection="1">
      <alignment horizontal="center" vertical="center"/>
    </xf>
    <xf numFmtId="179" fontId="17" fillId="0" borderId="47" xfId="0" applyNumberFormat="1" applyFont="1" applyBorder="1" applyAlignment="1" applyProtection="1">
      <alignment vertical="center" shrinkToFit="1"/>
    </xf>
    <xf numFmtId="0" fontId="13" fillId="0" borderId="48" xfId="0" applyFont="1" applyBorder="1" applyAlignment="1" applyProtection="1">
      <alignment vertical="center" shrinkToFit="1"/>
    </xf>
    <xf numFmtId="0" fontId="13" fillId="0" borderId="49" xfId="0" applyFont="1" applyBorder="1" applyAlignment="1" applyProtection="1">
      <alignment vertical="center" shrinkToFit="1"/>
    </xf>
    <xf numFmtId="0" fontId="20" fillId="0" borderId="0" xfId="0" applyFont="1" applyAlignment="1" applyProtection="1">
      <alignment horizontal="center" vertical="center" wrapText="1"/>
    </xf>
    <xf numFmtId="0" fontId="20" fillId="0" borderId="0" xfId="0" applyFont="1" applyAlignment="1" applyProtection="1">
      <alignment horizontal="center" vertical="center"/>
    </xf>
    <xf numFmtId="0" fontId="9" fillId="6" borderId="1" xfId="0" applyFont="1" applyFill="1" applyBorder="1" applyAlignment="1" applyProtection="1">
      <alignment horizontal="center" vertical="center"/>
    </xf>
    <xf numFmtId="0" fontId="9" fillId="0" borderId="18" xfId="0" applyFont="1" applyBorder="1" applyAlignment="1" applyProtection="1">
      <alignment horizontal="center" vertical="center"/>
    </xf>
    <xf numFmtId="0" fontId="36" fillId="0" borderId="20" xfId="0" applyFont="1" applyBorder="1" applyAlignment="1" applyProtection="1">
      <alignment vertical="center"/>
    </xf>
    <xf numFmtId="0" fontId="36" fillId="0" borderId="21" xfId="0" applyFont="1" applyBorder="1" applyAlignment="1" applyProtection="1">
      <alignment vertical="center"/>
    </xf>
    <xf numFmtId="0" fontId="36" fillId="0" borderId="10" xfId="0" applyFont="1" applyBorder="1" applyAlignment="1" applyProtection="1">
      <alignment vertical="center"/>
    </xf>
    <xf numFmtId="0" fontId="9" fillId="0" borderId="2" xfId="0" applyFont="1" applyFill="1" applyBorder="1" applyAlignment="1" applyProtection="1">
      <alignment horizontal="center" vertical="center"/>
    </xf>
    <xf numFmtId="0" fontId="36" fillId="0" borderId="4" xfId="0" applyFont="1" applyBorder="1" applyAlignment="1" applyProtection="1">
      <alignment vertical="center"/>
    </xf>
    <xf numFmtId="0" fontId="9" fillId="0" borderId="2" xfId="0" applyFont="1" applyBorder="1" applyAlignment="1" applyProtection="1">
      <alignment horizontal="left" vertical="center" wrapText="1"/>
    </xf>
    <xf numFmtId="0" fontId="36" fillId="0" borderId="4" xfId="0" applyFont="1" applyBorder="1" applyAlignment="1" applyProtection="1">
      <alignment vertical="center" wrapText="1"/>
    </xf>
    <xf numFmtId="0" fontId="17" fillId="0" borderId="2"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7" fillId="0" borderId="4" xfId="0" applyFont="1" applyBorder="1" applyAlignment="1" applyProtection="1">
      <alignment horizontal="center" vertical="center" wrapText="1"/>
    </xf>
    <xf numFmtId="0" fontId="17" fillId="6" borderId="1" xfId="0" applyFont="1" applyFill="1" applyBorder="1" applyAlignment="1" applyProtection="1">
      <alignment horizontal="center" vertical="center"/>
    </xf>
    <xf numFmtId="0" fontId="17" fillId="6" borderId="1" xfId="0" applyFont="1" applyFill="1" applyBorder="1" applyAlignment="1" applyProtection="1">
      <alignment horizontal="center" vertical="center" wrapText="1"/>
    </xf>
    <xf numFmtId="0" fontId="9" fillId="0" borderId="2" xfId="0" applyFont="1" applyBorder="1" applyAlignment="1" applyProtection="1">
      <alignment horizontal="center" vertical="center"/>
    </xf>
    <xf numFmtId="0" fontId="36" fillId="0" borderId="3" xfId="0" applyFont="1" applyBorder="1" applyAlignment="1" applyProtection="1">
      <alignment vertical="center"/>
    </xf>
    <xf numFmtId="0" fontId="9" fillId="0" borderId="2" xfId="0" applyFont="1" applyBorder="1" applyAlignment="1" applyProtection="1">
      <alignment horizontal="center" vertical="center" wrapText="1"/>
    </xf>
    <xf numFmtId="0" fontId="36" fillId="0" borderId="3" xfId="0" applyFont="1" applyBorder="1" applyAlignment="1" applyProtection="1">
      <alignment horizontal="center" vertical="center" wrapText="1"/>
    </xf>
    <xf numFmtId="0" fontId="36" fillId="0" borderId="4" xfId="0" applyFont="1" applyBorder="1" applyAlignment="1" applyProtection="1">
      <alignment horizontal="center" vertical="center" wrapText="1"/>
    </xf>
    <xf numFmtId="0" fontId="9" fillId="6" borderId="1" xfId="0" applyFont="1" applyFill="1" applyBorder="1" applyAlignment="1" applyProtection="1">
      <alignment horizontal="center" vertical="center" wrapText="1"/>
    </xf>
    <xf numFmtId="0" fontId="17" fillId="6" borderId="7" xfId="0" applyFont="1" applyFill="1" applyBorder="1" applyAlignment="1" applyProtection="1">
      <alignment horizontal="center" vertical="center" wrapText="1"/>
    </xf>
    <xf numFmtId="0" fontId="17" fillId="6" borderId="8" xfId="0" applyFont="1" applyFill="1" applyBorder="1" applyAlignment="1" applyProtection="1">
      <alignment horizontal="center" vertical="center" wrapText="1"/>
    </xf>
    <xf numFmtId="0" fontId="17" fillId="6" borderId="8" xfId="0" applyFont="1" applyFill="1" applyBorder="1" applyAlignment="1" applyProtection="1">
      <alignment horizontal="center" vertical="center"/>
    </xf>
    <xf numFmtId="0" fontId="17" fillId="6" borderId="6" xfId="0" applyFont="1" applyFill="1" applyBorder="1" applyAlignment="1" applyProtection="1">
      <alignment horizontal="center" vertical="center"/>
    </xf>
    <xf numFmtId="0" fontId="17" fillId="6" borderId="7" xfId="0" applyFont="1" applyFill="1" applyBorder="1" applyAlignment="1" applyProtection="1">
      <alignment horizontal="center" vertical="center"/>
    </xf>
    <xf numFmtId="0" fontId="7" fillId="0" borderId="5" xfId="0" applyFont="1" applyBorder="1" applyAlignment="1">
      <alignment horizontal="right" vertical="center" shrinkToFit="1"/>
    </xf>
    <xf numFmtId="0" fontId="6" fillId="0" borderId="5" xfId="0" applyFont="1" applyBorder="1" applyAlignment="1">
      <alignment horizontal="right" vertical="center" shrinkToFit="1"/>
    </xf>
    <xf numFmtId="0" fontId="17" fillId="0" borderId="2" xfId="0" applyFont="1" applyBorder="1" applyAlignment="1">
      <alignment horizontal="center" vertical="center"/>
    </xf>
    <xf numFmtId="0" fontId="14" fillId="0" borderId="0" xfId="0" applyFont="1" applyAlignment="1">
      <alignment vertical="center" wrapText="1"/>
    </xf>
    <xf numFmtId="0" fontId="49" fillId="0" borderId="0" xfId="0" applyFont="1" applyAlignment="1">
      <alignment vertical="center" wrapText="1"/>
    </xf>
    <xf numFmtId="0" fontId="17" fillId="0" borderId="47" xfId="0" applyFont="1" applyBorder="1" applyAlignment="1">
      <alignment horizontal="right" vertical="center"/>
    </xf>
    <xf numFmtId="0" fontId="0" fillId="0" borderId="48" xfId="0" applyBorder="1" applyAlignment="1">
      <alignment horizontal="right" vertical="center"/>
    </xf>
    <xf numFmtId="180" fontId="17" fillId="0" borderId="47" xfId="0" applyNumberFormat="1" applyFont="1" applyBorder="1" applyAlignment="1">
      <alignment horizontal="right" vertical="center"/>
    </xf>
    <xf numFmtId="180" fontId="17" fillId="0" borderId="49" xfId="0" applyNumberFormat="1" applyFont="1" applyBorder="1" applyAlignment="1">
      <alignment vertical="center"/>
    </xf>
    <xf numFmtId="0" fontId="0" fillId="0" borderId="47" xfId="0" applyBorder="1" applyAlignment="1">
      <alignment horizontal="right" vertical="center"/>
    </xf>
    <xf numFmtId="0" fontId="0" fillId="0" borderId="48" xfId="0" applyBorder="1" applyAlignment="1">
      <alignment vertical="center"/>
    </xf>
    <xf numFmtId="0" fontId="0" fillId="0" borderId="49" xfId="0" applyBorder="1" applyAlignment="1">
      <alignment vertical="center"/>
    </xf>
    <xf numFmtId="179" fontId="17" fillId="0" borderId="47" xfId="0" applyNumberFormat="1" applyFont="1" applyBorder="1" applyAlignment="1">
      <alignment vertical="center"/>
    </xf>
    <xf numFmtId="179" fontId="17" fillId="0" borderId="1" xfId="0" applyNumberFormat="1" applyFont="1" applyBorder="1" applyAlignment="1">
      <alignment vertical="center"/>
    </xf>
    <xf numFmtId="0" fontId="0" fillId="0" borderId="1" xfId="0" applyBorder="1" applyAlignment="1">
      <alignment vertical="center"/>
    </xf>
    <xf numFmtId="0" fontId="17" fillId="0" borderId="1" xfId="0" applyFont="1" applyBorder="1" applyAlignment="1">
      <alignment horizontal="center" vertical="center"/>
    </xf>
    <xf numFmtId="180" fontId="17" fillId="0" borderId="1" xfId="0" applyNumberFormat="1" applyFont="1" applyBorder="1" applyAlignment="1">
      <alignment vertical="center"/>
    </xf>
    <xf numFmtId="180" fontId="0" fillId="0" borderId="1" xfId="0" applyNumberFormat="1" applyBorder="1" applyAlignment="1">
      <alignment vertical="center"/>
    </xf>
    <xf numFmtId="0" fontId="17" fillId="0" borderId="1" xfId="0" applyFont="1" applyBorder="1" applyAlignment="1">
      <alignment vertical="center"/>
    </xf>
    <xf numFmtId="179" fontId="17" fillId="0" borderId="1" xfId="0" applyNumberFormat="1" applyFont="1" applyFill="1" applyBorder="1" applyAlignment="1">
      <alignment vertical="center" shrinkToFit="1"/>
    </xf>
    <xf numFmtId="179" fontId="0" fillId="0" borderId="1" xfId="0" applyNumberFormat="1" applyFill="1" applyBorder="1" applyAlignment="1">
      <alignment vertical="center" shrinkToFit="1"/>
    </xf>
    <xf numFmtId="0" fontId="17" fillId="9" borderId="58" xfId="0" applyFont="1" applyFill="1" applyBorder="1" applyAlignment="1" applyProtection="1">
      <alignment horizontal="center" vertical="center"/>
      <protection locked="0"/>
    </xf>
    <xf numFmtId="0" fontId="0" fillId="9" borderId="59" xfId="0" applyFill="1" applyBorder="1" applyAlignment="1" applyProtection="1">
      <alignment horizontal="center" vertical="center"/>
      <protection locked="0"/>
    </xf>
    <xf numFmtId="0" fontId="17" fillId="9" borderId="58" xfId="0" applyFont="1" applyFill="1" applyBorder="1" applyAlignment="1" applyProtection="1">
      <alignment horizontal="left" vertical="center"/>
      <protection locked="0"/>
    </xf>
    <xf numFmtId="0" fontId="17" fillId="9" borderId="59" xfId="0" applyFont="1" applyFill="1" applyBorder="1" applyAlignment="1" applyProtection="1">
      <alignment horizontal="left" vertical="center"/>
      <protection locked="0"/>
    </xf>
    <xf numFmtId="0" fontId="17" fillId="9" borderId="60" xfId="0" applyFont="1" applyFill="1" applyBorder="1" applyAlignment="1" applyProtection="1">
      <alignment horizontal="left" vertical="center"/>
      <protection locked="0"/>
    </xf>
    <xf numFmtId="180" fontId="17" fillId="9" borderId="2" xfId="0" applyNumberFormat="1" applyFont="1" applyFill="1" applyBorder="1" applyAlignment="1" applyProtection="1">
      <alignment vertical="center"/>
      <protection locked="0"/>
    </xf>
    <xf numFmtId="180" fontId="0" fillId="9" borderId="2" xfId="0" applyNumberFormat="1" applyFill="1" applyBorder="1" applyAlignment="1" applyProtection="1">
      <alignment vertical="center"/>
      <protection locked="0"/>
    </xf>
    <xf numFmtId="179" fontId="17" fillId="9" borderId="2" xfId="0" applyNumberFormat="1" applyFont="1" applyFill="1" applyBorder="1" applyAlignment="1" applyProtection="1">
      <alignment vertical="center" shrinkToFit="1"/>
      <protection locked="0"/>
    </xf>
    <xf numFmtId="179" fontId="0" fillId="9" borderId="2" xfId="0" applyNumberFormat="1" applyFill="1" applyBorder="1" applyAlignment="1" applyProtection="1">
      <alignment vertical="center" shrinkToFit="1"/>
      <protection locked="0"/>
    </xf>
    <xf numFmtId="179" fontId="17" fillId="0" borderId="1" xfId="0" applyNumberFormat="1" applyFont="1" applyBorder="1" applyAlignment="1">
      <alignment vertical="center" shrinkToFit="1"/>
    </xf>
    <xf numFmtId="179" fontId="0" fillId="0" borderId="1" xfId="0" applyNumberFormat="1" applyBorder="1" applyAlignment="1">
      <alignment vertical="center" shrinkToFit="1"/>
    </xf>
    <xf numFmtId="0" fontId="17" fillId="9" borderId="7" xfId="0" applyFont="1" applyFill="1" applyBorder="1" applyAlignment="1" applyProtection="1">
      <alignment horizontal="center" vertical="center"/>
      <protection locked="0"/>
    </xf>
    <xf numFmtId="0" fontId="0" fillId="9" borderId="8" xfId="0" applyFill="1" applyBorder="1" applyAlignment="1" applyProtection="1">
      <alignment horizontal="center" vertical="center"/>
      <protection locked="0"/>
    </xf>
    <xf numFmtId="0" fontId="17" fillId="9" borderId="7" xfId="0" applyFont="1" applyFill="1" applyBorder="1" applyAlignment="1" applyProtection="1">
      <alignment horizontal="left" vertical="center"/>
      <protection locked="0"/>
    </xf>
    <xf numFmtId="0" fontId="17" fillId="9" borderId="8" xfId="0" applyFont="1" applyFill="1" applyBorder="1" applyAlignment="1" applyProtection="1">
      <alignment horizontal="left" vertical="center"/>
      <protection locked="0"/>
    </xf>
    <xf numFmtId="0" fontId="17" fillId="9" borderId="6" xfId="0" applyFont="1" applyFill="1" applyBorder="1" applyAlignment="1" applyProtection="1">
      <alignment horizontal="left" vertical="center"/>
      <protection locked="0"/>
    </xf>
    <xf numFmtId="180" fontId="17" fillId="9" borderId="1" xfId="0" applyNumberFormat="1" applyFont="1" applyFill="1" applyBorder="1" applyAlignment="1" applyProtection="1">
      <alignment vertical="center"/>
      <protection locked="0"/>
    </xf>
    <xf numFmtId="180" fontId="0" fillId="9" borderId="1" xfId="0" applyNumberFormat="1" applyFill="1" applyBorder="1" applyAlignment="1" applyProtection="1">
      <alignment vertical="center"/>
      <protection locked="0"/>
    </xf>
    <xf numFmtId="179" fontId="17" fillId="9" borderId="1" xfId="0" applyNumberFormat="1" applyFont="1" applyFill="1" applyBorder="1" applyAlignment="1" applyProtection="1">
      <alignment vertical="center" shrinkToFit="1"/>
      <protection locked="0"/>
    </xf>
    <xf numFmtId="179" fontId="0" fillId="9" borderId="1" xfId="0" applyNumberFormat="1" applyFill="1" applyBorder="1" applyAlignment="1" applyProtection="1">
      <alignment vertical="center" shrinkToFit="1"/>
      <protection locked="0"/>
    </xf>
    <xf numFmtId="0" fontId="17" fillId="0" borderId="62"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17" fillId="0" borderId="7" xfId="0" applyFont="1" applyBorder="1" applyAlignment="1">
      <alignment horizontal="center" vertical="center"/>
    </xf>
    <xf numFmtId="0" fontId="0" fillId="0" borderId="8" xfId="0" applyBorder="1" applyAlignment="1">
      <alignment horizontal="center" vertical="center"/>
    </xf>
    <xf numFmtId="0" fontId="17" fillId="0" borderId="8" xfId="0" applyFont="1" applyBorder="1" applyAlignment="1">
      <alignment horizontal="center" vertical="center"/>
    </xf>
    <xf numFmtId="0" fontId="17" fillId="0" borderId="6" xfId="0" applyFont="1" applyBorder="1" applyAlignment="1">
      <alignment horizontal="center" vertical="center"/>
    </xf>
    <xf numFmtId="0" fontId="17" fillId="0" borderId="1" xfId="0" applyFont="1" applyBorder="1" applyAlignment="1">
      <alignment horizontal="center" vertical="center" shrinkToFit="1"/>
    </xf>
    <xf numFmtId="0" fontId="0" fillId="0" borderId="1" xfId="0" applyBorder="1" applyAlignment="1">
      <alignment horizontal="center" vertical="center" shrinkToFit="1"/>
    </xf>
    <xf numFmtId="179" fontId="17" fillId="0" borderId="7" xfId="0" applyNumberFormat="1" applyFont="1" applyBorder="1" applyAlignment="1">
      <alignment vertical="center"/>
    </xf>
    <xf numFmtId="179" fontId="17" fillId="0" borderId="8" xfId="0" applyNumberFormat="1" applyFont="1" applyBorder="1" applyAlignment="1">
      <alignment vertical="center"/>
    </xf>
    <xf numFmtId="179" fontId="17" fillId="0" borderId="6" xfId="0" applyNumberFormat="1" applyFont="1" applyBorder="1" applyAlignment="1">
      <alignment vertical="center"/>
    </xf>
    <xf numFmtId="179" fontId="17" fillId="0" borderId="58" xfId="0" applyNumberFormat="1" applyFont="1" applyBorder="1" applyAlignment="1">
      <alignment vertical="center"/>
    </xf>
    <xf numFmtId="179" fontId="17" fillId="0" borderId="59" xfId="0" applyNumberFormat="1" applyFont="1" applyBorder="1" applyAlignment="1">
      <alignment vertical="center"/>
    </xf>
    <xf numFmtId="179" fontId="17" fillId="0" borderId="60" xfId="0" applyNumberFormat="1" applyFont="1" applyBorder="1" applyAlignment="1">
      <alignment vertical="center"/>
    </xf>
    <xf numFmtId="179" fontId="17" fillId="0" borderId="2" xfId="0" applyNumberFormat="1" applyFont="1" applyBorder="1" applyAlignment="1">
      <alignment vertical="center" shrinkToFit="1"/>
    </xf>
    <xf numFmtId="179" fontId="0" fillId="0" borderId="2" xfId="0" applyNumberFormat="1" applyBorder="1" applyAlignment="1">
      <alignment vertical="center" shrinkToFit="1"/>
    </xf>
    <xf numFmtId="0" fontId="17" fillId="9" borderId="1" xfId="0" applyFont="1" applyFill="1" applyBorder="1" applyAlignment="1" applyProtection="1">
      <alignment vertical="center"/>
      <protection locked="0"/>
    </xf>
    <xf numFmtId="0" fontId="0" fillId="9" borderId="1" xfId="0" applyFill="1" applyBorder="1" applyAlignment="1" applyProtection="1">
      <alignment vertical="center"/>
      <protection locked="0"/>
    </xf>
    <xf numFmtId="0" fontId="17" fillId="9" borderId="1" xfId="0" applyFont="1"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17" fillId="0" borderId="0" xfId="0" applyFont="1" applyBorder="1" applyAlignment="1">
      <alignment vertical="center"/>
    </xf>
    <xf numFmtId="0" fontId="0" fillId="0" borderId="0" xfId="0" applyBorder="1" applyAlignment="1">
      <alignment vertical="center"/>
    </xf>
    <xf numFmtId="0" fontId="0" fillId="0" borderId="68" xfId="0" applyBorder="1" applyAlignment="1">
      <alignment vertical="center"/>
    </xf>
    <xf numFmtId="0" fontId="17" fillId="0" borderId="47" xfId="0" applyFont="1" applyFill="1" applyBorder="1" applyAlignment="1">
      <alignment horizontal="right" vertical="center"/>
    </xf>
    <xf numFmtId="0" fontId="17" fillId="0" borderId="7" xfId="0" applyFont="1" applyFill="1" applyBorder="1" applyAlignment="1">
      <alignment horizontal="right" vertical="center"/>
    </xf>
    <xf numFmtId="0" fontId="0" fillId="0" borderId="8" xfId="0" applyBorder="1" applyAlignment="1">
      <alignment horizontal="right" vertical="center"/>
    </xf>
    <xf numFmtId="0" fontId="14" fillId="0" borderId="0" xfId="0" applyFont="1" applyAlignment="1">
      <alignment vertical="center" shrinkToFit="1"/>
    </xf>
    <xf numFmtId="0" fontId="49" fillId="0" borderId="0" xfId="0" applyFont="1" applyAlignment="1">
      <alignment vertical="center" shrinkToFit="1"/>
    </xf>
    <xf numFmtId="0" fontId="0" fillId="0" borderId="6" xfId="0" applyBorder="1" applyAlignment="1">
      <alignment horizontal="right" vertical="center"/>
    </xf>
    <xf numFmtId="0" fontId="20" fillId="0" borderId="0" xfId="0" applyFont="1" applyAlignment="1">
      <alignment vertical="center"/>
    </xf>
    <xf numFmtId="0" fontId="47" fillId="0" borderId="0" xfId="0" applyFont="1" applyAlignment="1">
      <alignment vertical="center"/>
    </xf>
    <xf numFmtId="179" fontId="17" fillId="0" borderId="13" xfId="0" applyNumberFormat="1" applyFont="1" applyFill="1" applyBorder="1" applyAlignment="1">
      <alignment vertical="center" shrinkToFit="1"/>
    </xf>
    <xf numFmtId="0" fontId="0" fillId="0" borderId="13" xfId="0" applyFill="1" applyBorder="1" applyAlignment="1">
      <alignment vertical="center" shrinkToFit="1"/>
    </xf>
    <xf numFmtId="179" fontId="17" fillId="0" borderId="1" xfId="0" applyNumberFormat="1" applyFont="1" applyFill="1" applyBorder="1" applyAlignment="1">
      <alignment horizontal="right" vertical="center"/>
    </xf>
    <xf numFmtId="0" fontId="0" fillId="0" borderId="1" xfId="0" applyBorder="1" applyAlignment="1">
      <alignment horizontal="right" vertical="center"/>
    </xf>
    <xf numFmtId="179" fontId="17" fillId="9" borderId="1" xfId="0" applyNumberFormat="1" applyFont="1" applyFill="1" applyBorder="1" applyAlignment="1" applyProtection="1">
      <alignment horizontal="right" vertical="center"/>
      <protection locked="0"/>
    </xf>
    <xf numFmtId="0" fontId="0" fillId="9" borderId="1" xfId="0" applyFill="1" applyBorder="1" applyAlignment="1" applyProtection="1">
      <alignment horizontal="right" vertical="center"/>
      <protection locked="0"/>
    </xf>
    <xf numFmtId="0" fontId="17" fillId="0" borderId="48" xfId="0" applyFont="1" applyBorder="1" applyAlignment="1">
      <alignment horizontal="right" vertical="center"/>
    </xf>
    <xf numFmtId="0" fontId="17" fillId="0" borderId="49" xfId="0" applyFont="1" applyBorder="1" applyAlignment="1">
      <alignment horizontal="right" vertical="center"/>
    </xf>
    <xf numFmtId="0" fontId="17" fillId="0" borderId="8" xfId="0" applyFont="1" applyBorder="1" applyAlignment="1">
      <alignment horizontal="right" vertical="center"/>
    </xf>
    <xf numFmtId="0" fontId="17" fillId="0" borderId="6" xfId="0" applyFont="1" applyBorder="1" applyAlignment="1">
      <alignment horizontal="right" vertical="center"/>
    </xf>
    <xf numFmtId="0" fontId="17" fillId="9" borderId="2" xfId="0" applyFont="1" applyFill="1" applyBorder="1" applyAlignment="1" applyProtection="1">
      <alignment horizontal="center" vertical="center"/>
      <protection locked="0"/>
    </xf>
    <xf numFmtId="0" fontId="0" fillId="9" borderId="2" xfId="0" applyFill="1" applyBorder="1" applyAlignment="1" applyProtection="1">
      <alignment horizontal="center" vertical="center"/>
      <protection locked="0"/>
    </xf>
    <xf numFmtId="0" fontId="17" fillId="9" borderId="2" xfId="0" applyFont="1" applyFill="1" applyBorder="1" applyAlignment="1" applyProtection="1">
      <alignment vertical="center"/>
      <protection locked="0"/>
    </xf>
    <xf numFmtId="0" fontId="0" fillId="9" borderId="2" xfId="0" applyFill="1" applyBorder="1" applyAlignment="1" applyProtection="1">
      <alignment vertical="center"/>
      <protection locked="0"/>
    </xf>
    <xf numFmtId="179" fontId="7" fillId="0" borderId="7" xfId="0" applyNumberFormat="1" applyFont="1" applyBorder="1" applyAlignment="1" applyProtection="1">
      <alignment horizontal="center" vertical="center" shrinkToFit="1"/>
    </xf>
    <xf numFmtId="0" fontId="0" fillId="0" borderId="6" xfId="0" applyBorder="1" applyAlignment="1">
      <alignment horizontal="center" vertical="center" shrinkToFit="1"/>
    </xf>
    <xf numFmtId="0" fontId="30" fillId="0" borderId="11" xfId="0" applyFont="1" applyBorder="1" applyAlignment="1">
      <alignment vertical="center" wrapText="1"/>
    </xf>
    <xf numFmtId="0" fontId="50" fillId="0" borderId="0" xfId="0" applyFont="1" applyAlignment="1">
      <alignment vertical="center" wrapText="1"/>
    </xf>
    <xf numFmtId="0" fontId="50" fillId="0" borderId="11" xfId="0" applyFont="1" applyBorder="1" applyAlignment="1">
      <alignment vertical="center" wrapText="1"/>
    </xf>
    <xf numFmtId="0" fontId="21" fillId="0" borderId="0" xfId="0" applyFont="1" applyAlignment="1" applyProtection="1">
      <alignment horizontal="left" vertical="center" wrapText="1"/>
    </xf>
    <xf numFmtId="0" fontId="6" fillId="0" borderId="0" xfId="0" applyFont="1" applyAlignment="1">
      <alignment horizontal="left" vertical="center" wrapText="1"/>
    </xf>
    <xf numFmtId="0" fontId="21" fillId="9" borderId="7" xfId="0" applyFont="1" applyFill="1" applyBorder="1" applyAlignment="1" applyProtection="1">
      <alignment horizontal="left" vertical="center" shrinkToFit="1"/>
      <protection locked="0"/>
    </xf>
    <xf numFmtId="0" fontId="6" fillId="9" borderId="8" xfId="0" applyFont="1" applyFill="1" applyBorder="1" applyAlignment="1" applyProtection="1">
      <alignment horizontal="left" vertical="center" shrinkToFit="1"/>
      <protection locked="0"/>
    </xf>
    <xf numFmtId="0" fontId="6" fillId="9" borderId="6" xfId="0" applyFont="1" applyFill="1" applyBorder="1" applyAlignment="1" applyProtection="1">
      <alignment horizontal="left" vertical="center" shrinkToFit="1"/>
      <protection locked="0"/>
    </xf>
    <xf numFmtId="195" fontId="7" fillId="0" borderId="0" xfId="0" applyNumberFormat="1" applyFont="1" applyAlignment="1" applyProtection="1">
      <alignment horizontal="right" vertical="center" shrinkToFit="1"/>
    </xf>
    <xf numFmtId="195" fontId="6" fillId="0" borderId="0" xfId="0" applyNumberFormat="1" applyFont="1" applyAlignment="1">
      <alignment horizontal="right" vertical="center" shrinkToFit="1"/>
    </xf>
    <xf numFmtId="0" fontId="7" fillId="0" borderId="1" xfId="0" applyFont="1" applyBorder="1" applyAlignment="1" applyProtection="1">
      <alignment horizontal="center" vertical="center" wrapText="1"/>
    </xf>
    <xf numFmtId="0" fontId="6" fillId="0" borderId="1" xfId="0" applyFont="1" applyBorder="1" applyAlignment="1">
      <alignment horizontal="center" vertical="center"/>
    </xf>
    <xf numFmtId="179" fontId="7" fillId="9" borderId="1" xfId="0" applyNumberFormat="1" applyFont="1" applyFill="1" applyBorder="1" applyAlignment="1" applyProtection="1">
      <alignment horizontal="right" vertical="center" wrapText="1"/>
      <protection locked="0"/>
    </xf>
    <xf numFmtId="179" fontId="6" fillId="9" borderId="1" xfId="0" applyNumberFormat="1" applyFont="1" applyFill="1" applyBorder="1" applyAlignment="1" applyProtection="1">
      <alignment horizontal="right" vertical="center"/>
      <protection locked="0"/>
    </xf>
    <xf numFmtId="198" fontId="7" fillId="0" borderId="1" xfId="0" applyNumberFormat="1" applyFont="1" applyBorder="1" applyAlignment="1" applyProtection="1">
      <alignment horizontal="right" vertical="center" wrapText="1"/>
    </xf>
    <xf numFmtId="198" fontId="6" fillId="0" borderId="1" xfId="0" applyNumberFormat="1" applyFont="1" applyBorder="1" applyAlignment="1">
      <alignment horizontal="right" vertical="center"/>
    </xf>
    <xf numFmtId="0" fontId="7" fillId="0" borderId="11" xfId="0" applyFont="1" applyBorder="1" applyAlignment="1">
      <alignment vertical="center" wrapText="1"/>
    </xf>
    <xf numFmtId="0" fontId="7" fillId="0" borderId="11" xfId="0" applyFont="1" applyBorder="1" applyAlignment="1">
      <alignment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vertical="center" wrapText="1"/>
    </xf>
    <xf numFmtId="0" fontId="7" fillId="0" borderId="4" xfId="0" applyFont="1" applyBorder="1" applyAlignment="1">
      <alignment vertical="center" wrapText="1"/>
    </xf>
    <xf numFmtId="0" fontId="7" fillId="2" borderId="7" xfId="0" applyFont="1" applyFill="1" applyBorder="1" applyAlignment="1" applyProtection="1">
      <alignment horizontal="center" vertical="center" shrinkToFit="1"/>
    </xf>
    <xf numFmtId="0" fontId="6" fillId="0" borderId="8" xfId="0" applyFont="1" applyBorder="1" applyAlignment="1">
      <alignment horizontal="center" vertical="center" shrinkToFit="1"/>
    </xf>
    <xf numFmtId="0" fontId="6" fillId="0" borderId="6" xfId="0" applyFont="1" applyBorder="1" applyAlignment="1">
      <alignment horizontal="center" vertical="center" shrinkToFit="1"/>
    </xf>
    <xf numFmtId="0" fontId="9" fillId="8" borderId="0" xfId="0" applyFont="1" applyFill="1" applyBorder="1" applyAlignment="1" applyProtection="1">
      <alignment horizontal="left" vertical="center"/>
    </xf>
    <xf numFmtId="0" fontId="36" fillId="8" borderId="0" xfId="0" applyFont="1" applyFill="1" applyBorder="1" applyAlignment="1">
      <alignment horizontal="left" vertical="center"/>
    </xf>
    <xf numFmtId="0" fontId="7" fillId="0" borderId="0" xfId="0" applyFont="1" applyAlignment="1" applyProtection="1">
      <alignment horizontal="left" vertical="center" wrapText="1"/>
    </xf>
    <xf numFmtId="195" fontId="7" fillId="0" borderId="0" xfId="0" applyNumberFormat="1" applyFont="1" applyAlignment="1" applyProtection="1">
      <alignment horizontal="right" vertical="center"/>
    </xf>
    <xf numFmtId="0" fontId="6" fillId="0" borderId="0" xfId="0" applyFont="1" applyAlignment="1">
      <alignment vertical="center"/>
    </xf>
    <xf numFmtId="0" fontId="9" fillId="0" borderId="1" xfId="0" applyFont="1" applyBorder="1" applyAlignment="1" applyProtection="1">
      <alignment horizontal="left" vertical="center"/>
    </xf>
    <xf numFmtId="0" fontId="0" fillId="0" borderId="1" xfId="0" applyBorder="1" applyAlignment="1" applyProtection="1">
      <alignment vertical="center"/>
    </xf>
    <xf numFmtId="0" fontId="9" fillId="0" borderId="7" xfId="0" applyFont="1" applyBorder="1" applyAlignment="1" applyProtection="1">
      <alignment vertical="center" wrapText="1"/>
    </xf>
    <xf numFmtId="0" fontId="0" fillId="0" borderId="8" xfId="0" applyBorder="1" applyAlignment="1" applyProtection="1">
      <alignment vertical="center"/>
    </xf>
    <xf numFmtId="0" fontId="0" fillId="0" borderId="6" xfId="0" applyBorder="1" applyAlignment="1" applyProtection="1">
      <alignment vertical="center"/>
    </xf>
    <xf numFmtId="0" fontId="0" fillId="0" borderId="7" xfId="0" applyBorder="1" applyAlignment="1" applyProtection="1">
      <alignment vertical="center"/>
    </xf>
    <xf numFmtId="0" fontId="9" fillId="0" borderId="1" xfId="0" applyFont="1" applyBorder="1" applyAlignment="1" applyProtection="1">
      <alignment horizontal="center" vertical="center" shrinkToFit="1"/>
    </xf>
    <xf numFmtId="0" fontId="9" fillId="9" borderId="18" xfId="0" applyFont="1" applyFill="1" applyBorder="1" applyAlignment="1" applyProtection="1">
      <alignment vertical="center" wrapText="1"/>
      <protection locked="0"/>
    </xf>
    <xf numFmtId="0" fontId="9" fillId="9" borderId="19" xfId="0" applyFont="1" applyFill="1" applyBorder="1" applyAlignment="1" applyProtection="1">
      <alignment vertical="center" wrapText="1"/>
      <protection locked="0"/>
    </xf>
    <xf numFmtId="0" fontId="0" fillId="9" borderId="19" xfId="0" applyFill="1" applyBorder="1" applyAlignment="1" applyProtection="1">
      <alignment vertical="center" wrapText="1"/>
      <protection locked="0"/>
    </xf>
    <xf numFmtId="0" fontId="0" fillId="9" borderId="20" xfId="0" applyFill="1" applyBorder="1" applyAlignment="1" applyProtection="1">
      <alignment vertical="center" wrapText="1"/>
      <protection locked="0"/>
    </xf>
    <xf numFmtId="0" fontId="9" fillId="9" borderId="11" xfId="0" applyFont="1" applyFill="1" applyBorder="1" applyAlignment="1" applyProtection="1">
      <alignment vertical="center" wrapText="1"/>
      <protection locked="0"/>
    </xf>
    <xf numFmtId="0" fontId="9" fillId="9" borderId="0" xfId="0" applyFont="1"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9" xfId="0" applyFill="1" applyBorder="1" applyAlignment="1" applyProtection="1">
      <alignment vertical="center" wrapText="1"/>
      <protection locked="0"/>
    </xf>
    <xf numFmtId="0" fontId="0" fillId="9" borderId="21"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0" fillId="9" borderId="10" xfId="0" applyFill="1" applyBorder="1" applyAlignment="1" applyProtection="1">
      <alignment vertical="center" wrapText="1"/>
      <protection locked="0"/>
    </xf>
    <xf numFmtId="0" fontId="9" fillId="0" borderId="0" xfId="0" applyFont="1" applyFill="1" applyBorder="1" applyAlignment="1" applyProtection="1">
      <alignment vertical="center" wrapText="1"/>
    </xf>
    <xf numFmtId="0" fontId="9" fillId="0" borderId="0" xfId="0" applyFont="1" applyBorder="1" applyAlignment="1" applyProtection="1">
      <alignment vertical="center" wrapText="1" shrinkToFit="1"/>
    </xf>
    <xf numFmtId="0" fontId="0" fillId="0" borderId="0" xfId="0" applyAlignment="1">
      <alignment vertical="center" wrapText="1" shrinkToFit="1"/>
    </xf>
    <xf numFmtId="0" fontId="0" fillId="0" borderId="5" xfId="0" applyBorder="1" applyAlignment="1" applyProtection="1">
      <alignment vertical="center" wrapText="1" shrinkToFit="1"/>
    </xf>
    <xf numFmtId="0" fontId="0" fillId="0" borderId="5" xfId="0" applyBorder="1" applyAlignment="1">
      <alignment vertical="center" wrapText="1" shrinkToFit="1"/>
    </xf>
    <xf numFmtId="0" fontId="9" fillId="0" borderId="7" xfId="0" applyFont="1" applyBorder="1" applyAlignment="1" applyProtection="1">
      <alignment horizontal="center" vertical="center" wrapText="1"/>
    </xf>
    <xf numFmtId="0" fontId="0" fillId="0" borderId="6" xfId="0" applyBorder="1" applyAlignment="1">
      <alignment horizontal="center" vertical="center" wrapText="1"/>
    </xf>
    <xf numFmtId="0" fontId="9" fillId="9" borderId="7" xfId="0" applyFont="1" applyFill="1" applyBorder="1" applyAlignment="1" applyProtection="1">
      <alignment horizontal="left" vertical="center" shrinkToFit="1"/>
      <protection locked="0"/>
    </xf>
    <xf numFmtId="0" fontId="0" fillId="9" borderId="6" xfId="0" applyFill="1" applyBorder="1" applyAlignment="1" applyProtection="1">
      <alignment vertical="center" shrinkToFit="1"/>
      <protection locked="0"/>
    </xf>
    <xf numFmtId="0" fontId="9" fillId="0" borderId="0" xfId="0" applyFont="1" applyBorder="1" applyAlignment="1" applyProtection="1">
      <alignment vertical="center" wrapText="1"/>
    </xf>
    <xf numFmtId="0" fontId="9" fillId="0" borderId="0" xfId="0" applyFont="1" applyAlignment="1" applyProtection="1">
      <alignment vertical="center"/>
    </xf>
    <xf numFmtId="0" fontId="9" fillId="0" borderId="0" xfId="0" applyFont="1" applyBorder="1" applyAlignment="1" applyProtection="1">
      <alignment vertical="center"/>
    </xf>
    <xf numFmtId="0" fontId="9" fillId="0" borderId="7"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6" xfId="0" applyFont="1" applyBorder="1" applyAlignment="1" applyProtection="1">
      <alignment horizontal="center" vertical="center"/>
    </xf>
    <xf numFmtId="0" fontId="36" fillId="0" borderId="0" xfId="0" applyFont="1" applyBorder="1" applyAlignment="1" applyProtection="1">
      <alignment vertical="center"/>
    </xf>
    <xf numFmtId="179" fontId="9" fillId="0" borderId="7" xfId="0" applyNumberFormat="1" applyFont="1" applyBorder="1" applyAlignment="1" applyProtection="1">
      <alignment horizontal="center" vertical="center"/>
    </xf>
    <xf numFmtId="179" fontId="0" fillId="0" borderId="8" xfId="0" applyNumberFormat="1" applyBorder="1" applyAlignment="1" applyProtection="1">
      <alignment horizontal="center" vertical="center"/>
    </xf>
    <xf numFmtId="179" fontId="0" fillId="0" borderId="6" xfId="0" applyNumberFormat="1" applyBorder="1" applyAlignment="1" applyProtection="1">
      <alignment horizontal="center" vertical="center"/>
    </xf>
    <xf numFmtId="0" fontId="9" fillId="0" borderId="1" xfId="0" applyFont="1" applyBorder="1" applyAlignment="1" applyProtection="1">
      <alignment horizontal="center" vertical="center"/>
    </xf>
    <xf numFmtId="0" fontId="9" fillId="2" borderId="18" xfId="0" applyFont="1" applyFill="1" applyBorder="1" applyAlignment="1" applyProtection="1">
      <alignment horizontal="center" vertical="center" shrinkToFit="1"/>
    </xf>
    <xf numFmtId="0" fontId="0" fillId="0" borderId="20" xfId="0" applyBorder="1" applyAlignment="1" applyProtection="1">
      <alignment vertical="center"/>
    </xf>
    <xf numFmtId="0" fontId="9" fillId="9" borderId="11" xfId="0" applyFont="1" applyFill="1" applyBorder="1" applyAlignment="1" applyProtection="1">
      <alignment horizontal="left" vertical="center" shrinkToFit="1"/>
      <protection locked="0"/>
    </xf>
    <xf numFmtId="0" fontId="0" fillId="9" borderId="9" xfId="0" applyFill="1" applyBorder="1" applyAlignment="1" applyProtection="1">
      <alignment vertical="center" shrinkToFit="1"/>
      <protection locked="0"/>
    </xf>
    <xf numFmtId="0" fontId="21" fillId="0" borderId="0" xfId="2" applyFont="1" applyAlignment="1">
      <alignment horizontal="right" vertical="center" shrinkToFit="1"/>
    </xf>
    <xf numFmtId="0" fontId="21" fillId="0" borderId="0" xfId="2" applyFont="1" applyAlignment="1">
      <alignment vertical="center" shrinkToFit="1"/>
    </xf>
    <xf numFmtId="0" fontId="21" fillId="0" borderId="2" xfId="2" applyFont="1" applyBorder="1" applyAlignment="1">
      <alignment horizontal="center" vertical="center"/>
    </xf>
    <xf numFmtId="0" fontId="21" fillId="0" borderId="2" xfId="2"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21" fillId="0" borderId="1" xfId="2" applyFont="1" applyBorder="1" applyAlignment="1">
      <alignment horizontal="center" vertical="center"/>
    </xf>
    <xf numFmtId="199" fontId="21" fillId="9" borderId="3" xfId="2" applyNumberFormat="1" applyFont="1" applyFill="1" applyBorder="1" applyAlignment="1" applyProtection="1">
      <alignment vertical="center" shrinkToFit="1"/>
      <protection locked="0"/>
    </xf>
    <xf numFmtId="199" fontId="0" fillId="9" borderId="3" xfId="0" applyNumberFormat="1" applyFill="1" applyBorder="1" applyAlignment="1" applyProtection="1">
      <alignment vertical="center" shrinkToFit="1"/>
      <protection locked="0"/>
    </xf>
    <xf numFmtId="199" fontId="0" fillId="9" borderId="4" xfId="0" applyNumberFormat="1" applyFill="1" applyBorder="1" applyAlignment="1" applyProtection="1">
      <alignment vertical="center" shrinkToFit="1"/>
      <protection locked="0"/>
    </xf>
    <xf numFmtId="0" fontId="21" fillId="9" borderId="2" xfId="2" applyFont="1" applyFill="1" applyBorder="1" applyAlignment="1" applyProtection="1">
      <alignment vertical="center" wrapText="1" shrinkToFit="1"/>
      <protection locked="0"/>
    </xf>
    <xf numFmtId="0" fontId="0" fillId="9" borderId="3" xfId="0" applyFill="1" applyBorder="1" applyAlignment="1" applyProtection="1">
      <alignment vertical="center" wrapText="1" shrinkToFit="1"/>
      <protection locked="0"/>
    </xf>
    <xf numFmtId="0" fontId="0" fillId="9" borderId="4" xfId="0" applyFill="1" applyBorder="1" applyAlignment="1" applyProtection="1">
      <alignment vertical="center" wrapText="1" shrinkToFit="1"/>
      <protection locked="0"/>
    </xf>
    <xf numFmtId="0" fontId="21" fillId="0" borderId="1" xfId="2" applyFont="1" applyBorder="1" applyAlignment="1">
      <alignment horizontal="center" vertical="center" shrinkToFit="1"/>
    </xf>
    <xf numFmtId="0" fontId="21" fillId="0" borderId="0" xfId="2" applyFont="1" applyAlignment="1">
      <alignment horizontal="distributed" vertical="center"/>
    </xf>
    <xf numFmtId="0" fontId="21" fillId="0" borderId="6" xfId="2" applyFont="1" applyBorder="1" applyAlignment="1">
      <alignment horizontal="center" vertical="center" shrinkToFit="1"/>
    </xf>
    <xf numFmtId="0" fontId="21" fillId="0" borderId="7" xfId="2" applyFont="1" applyBorder="1" applyAlignment="1">
      <alignment horizontal="center" vertical="center" shrinkToFit="1"/>
    </xf>
    <xf numFmtId="0" fontId="21" fillId="9" borderId="2" xfId="2" applyFont="1" applyFill="1" applyBorder="1" applyAlignment="1" applyProtection="1">
      <alignment vertical="center" shrinkToFit="1"/>
      <protection locked="0"/>
    </xf>
    <xf numFmtId="0" fontId="0" fillId="9" borderId="3" xfId="0" applyFill="1" applyBorder="1" applyAlignment="1" applyProtection="1">
      <alignment vertical="center" shrinkToFit="1"/>
      <protection locked="0"/>
    </xf>
    <xf numFmtId="0" fontId="0" fillId="9" borderId="4" xfId="0" applyFill="1" applyBorder="1" applyAlignment="1" applyProtection="1">
      <alignment vertical="center" shrinkToFit="1"/>
      <protection locked="0"/>
    </xf>
    <xf numFmtId="0" fontId="22" fillId="0" borderId="0" xfId="2" applyFont="1" applyAlignment="1">
      <alignment horizontal="center" vertical="center"/>
    </xf>
    <xf numFmtId="0" fontId="19" fillId="0" borderId="1" xfId="6" applyFont="1" applyFill="1" applyBorder="1" applyAlignment="1">
      <alignment horizontal="center"/>
    </xf>
    <xf numFmtId="0" fontId="44" fillId="0" borderId="1" xfId="6" applyFont="1" applyFill="1" applyBorder="1"/>
    <xf numFmtId="179" fontId="44" fillId="0" borderId="1" xfId="6" applyNumberFormat="1" applyFont="1" applyFill="1" applyBorder="1"/>
    <xf numFmtId="180" fontId="44" fillId="0" borderId="1" xfId="6" applyNumberFormat="1" applyFont="1" applyFill="1" applyBorder="1"/>
    <xf numFmtId="0" fontId="44" fillId="0" borderId="1" xfId="6" applyFont="1" applyFill="1" applyBorder="1" applyAlignment="1">
      <alignment horizontal="center"/>
    </xf>
    <xf numFmtId="0" fontId="44" fillId="0" borderId="1" xfId="6" applyFont="1" applyBorder="1" applyAlignment="1">
      <alignment horizontal="center"/>
    </xf>
    <xf numFmtId="179" fontId="44" fillId="7" borderId="1" xfId="6" applyNumberFormat="1" applyFont="1" applyFill="1" applyBorder="1" applyAlignment="1">
      <alignment shrinkToFit="1"/>
    </xf>
    <xf numFmtId="179" fontId="44" fillId="7" borderId="7" xfId="6" applyNumberFormat="1" applyFont="1" applyFill="1" applyBorder="1" applyAlignment="1">
      <alignment shrinkToFit="1"/>
    </xf>
    <xf numFmtId="0" fontId="44" fillId="0" borderId="0" xfId="6" applyFont="1"/>
  </cellXfs>
  <cellStyles count="19">
    <cellStyle name="ハイパーリンク" xfId="1" builtinId="8"/>
    <cellStyle name="ハイパーリンク 2" xfId="17" xr:uid="{1DFA7B82-22D0-4680-8A2C-354C10EAC52F}"/>
    <cellStyle name="ハイパーリンク 3" xfId="8" xr:uid="{37D181F6-E7BF-4407-99D1-CE3E9D575FBE}"/>
    <cellStyle name="桁区切り" xfId="5" builtinId="6"/>
    <cellStyle name="桁区切り 2" xfId="3" xr:uid="{00000000-0005-0000-0000-000002000000}"/>
    <cellStyle name="桁区切り 3" xfId="7" xr:uid="{73BC0B68-C273-4A81-A439-27DD2BA8A846}"/>
    <cellStyle name="標準" xfId="0" builtinId="0"/>
    <cellStyle name="標準 2" xfId="2" xr:uid="{00000000-0005-0000-0000-000004000000}"/>
    <cellStyle name="標準 2 2" xfId="13" xr:uid="{082A6CEF-B6E8-428C-923B-72F94F20C717}"/>
    <cellStyle name="標準 2 2 2" xfId="15" xr:uid="{DD5744ED-4D69-4167-9E28-B607700611F1}"/>
    <cellStyle name="標準 2 3" xfId="16" xr:uid="{056CE773-CB41-4F6A-BF09-58A64887C12D}"/>
    <cellStyle name="標準 2 4" xfId="12" xr:uid="{C27E0C57-6FC1-4BA6-A761-D442358D92B8}"/>
    <cellStyle name="標準 2 5" xfId="4" xr:uid="{00000000-0005-0000-0000-000005000000}"/>
    <cellStyle name="標準 2 6" xfId="9" xr:uid="{3289ABD2-B3AF-4AC1-AB3E-0AEDF91CA7A2}"/>
    <cellStyle name="標準 3" xfId="6" xr:uid="{00000000-0005-0000-0000-000006000000}"/>
    <cellStyle name="標準 3 2" xfId="14" xr:uid="{26BAB389-8F90-4375-B6B3-1817989D5E3F}"/>
    <cellStyle name="標準 4" xfId="10" xr:uid="{AB4E5413-89D6-436B-BC30-AC990B93E9B5}"/>
    <cellStyle name="標準 5" xfId="11" xr:uid="{A7062884-9674-4F9E-AD7B-EBD7D020BBE0}"/>
    <cellStyle name="標準 6" xfId="18" xr:uid="{ADB8E3A2-574F-4199-89A5-2E8E2B5E642B}"/>
  </cellStyles>
  <dxfs count="5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AN$3" lockText="1" noThreeD="1"/>
</file>

<file path=xl/ctrlProps/ctrlProp2.xml><?xml version="1.0" encoding="utf-8"?>
<formControlPr xmlns="http://schemas.microsoft.com/office/spreadsheetml/2009/9/main" objectType="CheckBox" fmlaLink="$AN$4" lockText="1" noThreeD="1"/>
</file>

<file path=xl/ctrlProps/ctrlProp3.xml><?xml version="1.0" encoding="utf-8"?>
<formControlPr xmlns="http://schemas.microsoft.com/office/spreadsheetml/2009/9/main" objectType="CheckBox" fmlaLink="$AN$5" lockText="1" noThreeD="1"/>
</file>

<file path=xl/ctrlProps/ctrlProp4.xml><?xml version="1.0" encoding="utf-8"?>
<formControlPr xmlns="http://schemas.microsoft.com/office/spreadsheetml/2009/9/main" objectType="CheckBox" fmlaLink="$AA$2" lockText="1" noThreeD="1"/>
</file>

<file path=xl/ctrlProps/ctrlProp5.xml><?xml version="1.0" encoding="utf-8"?>
<formControlPr xmlns="http://schemas.microsoft.com/office/spreadsheetml/2009/9/main" objectType="CheckBox" fmlaLink="$AA$4" lockText="1" noThreeD="1"/>
</file>

<file path=xl/ctrlProps/ctrlProp6.xml><?xml version="1.0" encoding="utf-8"?>
<formControlPr xmlns="http://schemas.microsoft.com/office/spreadsheetml/2009/9/main" objectType="CheckBox" fmlaLink="$AA$3" lockText="1" noThreeD="1"/>
</file>

<file path=xl/ctrlProps/ctrlProp7.xml><?xml version="1.0" encoding="utf-8"?>
<formControlPr xmlns="http://schemas.microsoft.com/office/spreadsheetml/2009/9/main" objectType="CheckBox" fmlaLink="$AD$2" lockText="1" noThreeD="1"/>
</file>

<file path=xl/ctrlProps/ctrlProp8.xml><?xml version="1.0" encoding="utf-8"?>
<formControlPr xmlns="http://schemas.microsoft.com/office/spreadsheetml/2009/9/main" objectType="CheckBox" fmlaLink="$AD$3"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6.emf"/></Relationships>
</file>

<file path=xl/drawings/_rels/drawing6.xml.rels><?xml version="1.0" encoding="UTF-8" standalone="yes"?>
<Relationships xmlns="http://schemas.openxmlformats.org/package/2006/relationships"><Relationship Id="rId1" Type="http://schemas.openxmlformats.org/officeDocument/2006/relationships/image" Target="../media/image8.emf"/></Relationships>
</file>

<file path=xl/drawings/_rels/drawing7.xml.rels><?xml version="1.0" encoding="UTF-8" standalone="yes"?>
<Relationships xmlns="http://schemas.openxmlformats.org/package/2006/relationships"><Relationship Id="rId3" Type="http://schemas.openxmlformats.org/officeDocument/2006/relationships/image" Target="../media/image12.emf"/><Relationship Id="rId2" Type="http://schemas.openxmlformats.org/officeDocument/2006/relationships/image" Target="../media/image11.emf"/><Relationship Id="rId1" Type="http://schemas.openxmlformats.org/officeDocument/2006/relationships/image" Target="../media/image10.emf"/></Relationships>
</file>

<file path=xl/drawings/_rels/drawing8.xml.rels><?xml version="1.0" encoding="UTF-8" standalone="yes"?>
<Relationships xmlns="http://schemas.openxmlformats.org/package/2006/relationships"><Relationship Id="rId2" Type="http://schemas.openxmlformats.org/officeDocument/2006/relationships/image" Target="../media/image17.emf"/><Relationship Id="rId1" Type="http://schemas.openxmlformats.org/officeDocument/2006/relationships/image" Target="../media/image16.emf"/></Relationships>
</file>

<file path=xl/drawings/_rels/drawing9.xml.rels><?xml version="1.0" encoding="UTF-8" standalone="yes"?>
<Relationships xmlns="http://schemas.openxmlformats.org/package/2006/relationships"><Relationship Id="rId1" Type="http://schemas.openxmlformats.org/officeDocument/2006/relationships/image" Target="../media/image20.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9.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image" Target="../media/image14.emf"/><Relationship Id="rId1" Type="http://schemas.openxmlformats.org/officeDocument/2006/relationships/image" Target="../media/image13.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19.emf"/><Relationship Id="rId1" Type="http://schemas.openxmlformats.org/officeDocument/2006/relationships/image" Target="../media/image18.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2</xdr:row>
          <xdr:rowOff>57150</xdr:rowOff>
        </xdr:from>
        <xdr:to>
          <xdr:col>7</xdr:col>
          <xdr:colOff>333375</xdr:colOff>
          <xdr:row>2</xdr:row>
          <xdr:rowOff>266700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xdr:row>
          <xdr:rowOff>76200</xdr:rowOff>
        </xdr:from>
        <xdr:to>
          <xdr:col>7</xdr:col>
          <xdr:colOff>333375</xdr:colOff>
          <xdr:row>3</xdr:row>
          <xdr:rowOff>304800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4</xdr:row>
          <xdr:rowOff>38100</xdr:rowOff>
        </xdr:from>
        <xdr:to>
          <xdr:col>7</xdr:col>
          <xdr:colOff>428625</xdr:colOff>
          <xdr:row>4</xdr:row>
          <xdr:rowOff>266700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217714</xdr:colOff>
      <xdr:row>45</xdr:row>
      <xdr:rowOff>174624</xdr:rowOff>
    </xdr:from>
    <xdr:to>
      <xdr:col>30</xdr:col>
      <xdr:colOff>104321</xdr:colOff>
      <xdr:row>54</xdr:row>
      <xdr:rowOff>54428</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578428" y="11196410"/>
          <a:ext cx="6690179" cy="19616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p>
        <a:p>
          <a:r>
            <a:rPr kumimoji="1" lang="ja-JP" altLang="en-US" sz="1800"/>
            <a:t>　　</a:t>
          </a:r>
          <a:r>
            <a:rPr kumimoji="1" lang="en-US" altLang="ja-JP" sz="1800"/>
            <a:t>【</a:t>
          </a:r>
          <a:r>
            <a:rPr kumimoji="1" lang="ja-JP" altLang="en-US" sz="1800"/>
            <a:t>郵送先</a:t>
          </a:r>
          <a:r>
            <a:rPr kumimoji="1" lang="en-US" altLang="ja-JP" sz="1800"/>
            <a:t>】</a:t>
          </a:r>
        </a:p>
        <a:p>
          <a:r>
            <a:rPr kumimoji="1" lang="ja-JP" altLang="en-US" sz="1800"/>
            <a:t>　　　〒４６０－０００１</a:t>
          </a:r>
          <a:endParaRPr kumimoji="1" lang="en-US" altLang="ja-JP" sz="1800"/>
        </a:p>
        <a:p>
          <a:r>
            <a:rPr kumimoji="1" lang="ja-JP" altLang="en-US" sz="1800"/>
            <a:t>　　　名古屋市中区三の丸３－１－２</a:t>
          </a:r>
          <a:endParaRPr kumimoji="1" lang="en-US" altLang="ja-JP" sz="1800"/>
        </a:p>
        <a:p>
          <a:r>
            <a:rPr kumimoji="1" lang="ja-JP" altLang="en-US" sz="1800"/>
            <a:t>　　　感染症対策課感染症対策助成グループ　宛</a:t>
          </a:r>
        </a:p>
      </xdr:txBody>
    </xdr:sp>
    <xdr:clientData/>
  </xdr:twoCellAnchor>
  <xdr:twoCellAnchor>
    <xdr:from>
      <xdr:col>0</xdr:col>
      <xdr:colOff>149679</xdr:colOff>
      <xdr:row>6</xdr:row>
      <xdr:rowOff>217715</xdr:rowOff>
    </xdr:from>
    <xdr:to>
      <xdr:col>12</xdr:col>
      <xdr:colOff>149679</xdr:colOff>
      <xdr:row>17</xdr:row>
      <xdr:rowOff>20411</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49679" y="1673679"/>
          <a:ext cx="3265714" cy="2347232"/>
        </a:xfrm>
        <a:prstGeom prst="rect">
          <a:avLst/>
        </a:prstGeom>
        <a:solidFill>
          <a:schemeClr val="accent4">
            <a:lumMod val="20000"/>
            <a:lumOff val="80000"/>
          </a:schemeClr>
        </a:solidFill>
        <a:ln w="15875" cmpd="dbl">
          <a:solidFill>
            <a:schemeClr val="accent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kumimoji="1" lang="ja-JP" altLang="en-US" sz="1600" b="0">
              <a:latin typeface="ＭＳ ゴシック" panose="020B0609070205080204" pitchFamily="49" charset="-128"/>
              <a:ea typeface="ＭＳ ゴシック" panose="020B0609070205080204" pitchFamily="49" charset="-128"/>
            </a:rPr>
            <a:t>「はじめに入力してください」シートに入力した内容が自動表示されますので、本シートは入力　不要です。</a:t>
          </a:r>
          <a:endParaRPr kumimoji="1" lang="en-US" altLang="ja-JP" sz="1600" b="0">
            <a:latin typeface="ＭＳ ゴシック" panose="020B0609070205080204" pitchFamily="49" charset="-128"/>
            <a:ea typeface="ＭＳ ゴシック" panose="020B0609070205080204" pitchFamily="49" charset="-128"/>
          </a:endParaRPr>
        </a:p>
        <a:p>
          <a:pPr algn="just"/>
          <a:endParaRPr kumimoji="1" lang="en-US" altLang="ja-JP" sz="1600" b="0">
            <a:latin typeface="ＭＳ ゴシック" panose="020B0609070205080204" pitchFamily="49" charset="-128"/>
            <a:ea typeface="ＭＳ ゴシック" panose="020B0609070205080204" pitchFamily="49" charset="-128"/>
          </a:endParaRPr>
        </a:p>
        <a:p>
          <a:pPr algn="just"/>
          <a:r>
            <a:rPr kumimoji="1" lang="ja-JP" altLang="en-US" sz="1600" b="0">
              <a:latin typeface="ＭＳ ゴシック" panose="020B0609070205080204" pitchFamily="49" charset="-128"/>
              <a:ea typeface="ＭＳ ゴシック" panose="020B0609070205080204" pitchFamily="49" charset="-128"/>
            </a:rPr>
            <a:t>また、申請額は関係シートに経費情報が入力されると自動で表示　されます。</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158749</xdr:colOff>
          <xdr:row>0</xdr:row>
          <xdr:rowOff>147637</xdr:rowOff>
        </xdr:from>
        <xdr:to>
          <xdr:col>12</xdr:col>
          <xdr:colOff>5302249</xdr:colOff>
          <xdr:row>3</xdr:row>
          <xdr:rowOff>147637</xdr:rowOff>
        </xdr:to>
        <xdr:pic>
          <xdr:nvPicPr>
            <xdr:cNvPr id="2" name="図 1">
              <a:extLst>
                <a:ext uri="{FF2B5EF4-FFF2-40B4-BE49-F238E27FC236}">
                  <a16:creationId xmlns:a16="http://schemas.microsoft.com/office/drawing/2014/main" id="{00000000-0008-0000-0300-000002000000}"/>
                </a:ext>
              </a:extLst>
            </xdr:cNvPr>
            <xdr:cNvPicPr>
              <a:picLocks noChangeAspect="1" noChangeArrowheads="1"/>
              <a:extLst>
                <a:ext uri="{84589F7E-364E-4C9E-8A38-B11213B215E9}">
                  <a14:cameraTool cellRange="$L$32:$M$34" spid="_x0000_s17638"/>
                </a:ext>
              </a:extLst>
            </xdr:cNvPicPr>
          </xdr:nvPicPr>
          <xdr:blipFill>
            <a:blip xmlns:r="http://schemas.openxmlformats.org/officeDocument/2006/relationships" r:embed="rId1"/>
            <a:srcRect/>
            <a:stretch>
              <a:fillRect/>
            </a:stretch>
          </xdr:blipFill>
          <xdr:spPr bwMode="auto">
            <a:xfrm>
              <a:off x="12017374" y="147637"/>
              <a:ext cx="7143750" cy="17145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xdr:from>
      <xdr:col>12</xdr:col>
      <xdr:colOff>6048375</xdr:colOff>
      <xdr:row>0</xdr:row>
      <xdr:rowOff>261936</xdr:rowOff>
    </xdr:from>
    <xdr:to>
      <xdr:col>20</xdr:col>
      <xdr:colOff>381000</xdr:colOff>
      <xdr:row>3</xdr:row>
      <xdr:rowOff>190499</xdr:rowOff>
    </xdr:to>
    <xdr:sp macro="" textlink="">
      <xdr:nvSpPr>
        <xdr:cNvPr id="3" name="吹き出し: 角を丸めた四角形 2">
          <a:extLst>
            <a:ext uri="{FF2B5EF4-FFF2-40B4-BE49-F238E27FC236}">
              <a16:creationId xmlns:a16="http://schemas.microsoft.com/office/drawing/2014/main" id="{00000000-0008-0000-0300-000003000000}"/>
            </a:ext>
          </a:extLst>
        </xdr:cNvPr>
        <xdr:cNvSpPr/>
      </xdr:nvSpPr>
      <xdr:spPr>
        <a:xfrm>
          <a:off x="19907250" y="261936"/>
          <a:ext cx="5905500" cy="1643063"/>
        </a:xfrm>
        <a:prstGeom prst="wedgeRoundRectCallout">
          <a:avLst>
            <a:gd name="adj1" fmla="val -58343"/>
            <a:gd name="adj2" fmla="val -37485"/>
            <a:gd name="adj3" fmla="val 16667"/>
          </a:avLst>
        </a:prstGeom>
        <a:solidFill>
          <a:schemeClr val="accent4">
            <a:lumMod val="20000"/>
            <a:lumOff val="80000"/>
          </a:schemeClr>
        </a:solidFill>
        <a:ln>
          <a:solidFill>
            <a:schemeClr val="accent4">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b="1">
              <a:solidFill>
                <a:srgbClr val="FF0000"/>
              </a:solidFill>
            </a:rPr>
            <a:t>日付は記入不要です。</a:t>
          </a:r>
          <a:endParaRPr kumimoji="1" lang="ja-JP" altLang="en-US" sz="16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38</xdr:col>
      <xdr:colOff>47625</xdr:colOff>
      <xdr:row>49</xdr:row>
      <xdr:rowOff>9525</xdr:rowOff>
    </xdr:from>
    <xdr:to>
      <xdr:col>41</xdr:col>
      <xdr:colOff>323850</xdr:colOff>
      <xdr:row>55</xdr:row>
      <xdr:rowOff>200025</xdr:rowOff>
    </xdr:to>
    <xdr:pic>
      <xdr:nvPicPr>
        <xdr:cNvPr id="3" name="図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335875" y="9991725"/>
          <a:ext cx="2247900" cy="23336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20</xdr:col>
          <xdr:colOff>107422</xdr:colOff>
          <xdr:row>12</xdr:row>
          <xdr:rowOff>95250</xdr:rowOff>
        </xdr:from>
        <xdr:to>
          <xdr:col>21</xdr:col>
          <xdr:colOff>428625</xdr:colOff>
          <xdr:row>18</xdr:row>
          <xdr:rowOff>9524</xdr:rowOff>
        </xdr:to>
        <xdr:pic>
          <xdr:nvPicPr>
            <xdr:cNvPr id="4" name="図 3">
              <a:extLst>
                <a:ext uri="{FF2B5EF4-FFF2-40B4-BE49-F238E27FC236}">
                  <a16:creationId xmlns:a16="http://schemas.microsoft.com/office/drawing/2014/main" id="{00000000-0008-0000-0400-000004000000}"/>
                </a:ext>
              </a:extLst>
            </xdr:cNvPr>
            <xdr:cNvPicPr>
              <a:picLocks noChangeAspect="1" noChangeArrowheads="1"/>
              <a:extLst>
                <a:ext uri="{84589F7E-364E-4C9E-8A38-B11213B215E9}">
                  <a14:cameraTool cellRange="$AM$50:$AP$56" spid="_x0000_s18629"/>
                </a:ext>
              </a:extLst>
            </xdr:cNvPicPr>
          </xdr:nvPicPr>
          <xdr:blipFill>
            <a:blip xmlns:r="http://schemas.openxmlformats.org/officeDocument/2006/relationships" r:embed="rId2"/>
            <a:srcRect/>
            <a:stretch>
              <a:fillRect/>
            </a:stretch>
          </xdr:blipFill>
          <xdr:spPr bwMode="auto">
            <a:xfrm>
              <a:off x="6632047" y="2543175"/>
              <a:ext cx="1092728" cy="1123949"/>
            </a:xfrm>
            <a:prstGeom prst="rect">
              <a:avLst/>
            </a:prstGeom>
            <a:noFill/>
            <a:ln w="9525">
              <a:noFill/>
              <a:miter lim="800000"/>
              <a:headEnd/>
              <a:tailEnd/>
            </a:ln>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71439</xdr:colOff>
          <xdr:row>0</xdr:row>
          <xdr:rowOff>481014</xdr:rowOff>
        </xdr:from>
        <xdr:to>
          <xdr:col>35</xdr:col>
          <xdr:colOff>42864</xdr:colOff>
          <xdr:row>16</xdr:row>
          <xdr:rowOff>947739</xdr:rowOff>
        </xdr:to>
        <xdr:pic>
          <xdr:nvPicPr>
            <xdr:cNvPr id="2" name="図 1">
              <a:extLst>
                <a:ext uri="{FF2B5EF4-FFF2-40B4-BE49-F238E27FC236}">
                  <a16:creationId xmlns:a16="http://schemas.microsoft.com/office/drawing/2014/main" id="{00000000-0008-0000-0600-000002000000}"/>
                </a:ext>
              </a:extLst>
            </xdr:cNvPr>
            <xdr:cNvPicPr>
              <a:picLocks noChangeAspect="1" noChangeArrowheads="1"/>
              <a:extLst>
                <a:ext uri="{84589F7E-364E-4C9E-8A38-B11213B215E9}">
                  <a14:cameraTool cellRange="$AR$2:$AW$17" spid="_x0000_s40978"/>
                </a:ext>
              </a:extLst>
            </xdr:cNvPicPr>
          </xdr:nvPicPr>
          <xdr:blipFill>
            <a:blip xmlns:r="http://schemas.openxmlformats.org/officeDocument/2006/relationships" r:embed="rId1"/>
            <a:srcRect/>
            <a:stretch>
              <a:fillRect/>
            </a:stretch>
          </xdr:blipFill>
          <xdr:spPr bwMode="auto">
            <a:xfrm>
              <a:off x="18549939" y="481014"/>
              <a:ext cx="12211050" cy="124206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139700</xdr:colOff>
          <xdr:row>1</xdr:row>
          <xdr:rowOff>0</xdr:rowOff>
        </xdr:from>
        <xdr:to>
          <xdr:col>51</xdr:col>
          <xdr:colOff>546100</xdr:colOff>
          <xdr:row>52</xdr:row>
          <xdr:rowOff>6350</xdr:rowOff>
        </xdr:to>
        <xdr:pic>
          <xdr:nvPicPr>
            <xdr:cNvPr id="4" name="図 3">
              <a:extLst>
                <a:ext uri="{FF2B5EF4-FFF2-40B4-BE49-F238E27FC236}">
                  <a16:creationId xmlns:a16="http://schemas.microsoft.com/office/drawing/2014/main" id="{00000000-0008-0000-0700-000004000000}"/>
                </a:ext>
              </a:extLst>
            </xdr:cNvPr>
            <xdr:cNvPicPr>
              <a:picLocks noChangeAspect="1" noChangeArrowheads="1"/>
              <a:extLst>
                <a:ext uri="{84589F7E-364E-4C9E-8A38-B11213B215E9}">
                  <a14:cameraTool cellRange="$BF$2:$BI$52" spid="_x0000_s23720"/>
                </a:ext>
              </a:extLst>
            </xdr:cNvPicPr>
          </xdr:nvPicPr>
          <xdr:blipFill>
            <a:blip xmlns:r="http://schemas.openxmlformats.org/officeDocument/2006/relationships" r:embed="rId1"/>
            <a:srcRect/>
            <a:stretch>
              <a:fillRect/>
            </a:stretch>
          </xdr:blipFill>
          <xdr:spPr bwMode="auto">
            <a:xfrm>
              <a:off x="10198100" y="0"/>
              <a:ext cx="9652000" cy="149288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33</xdr:col>
      <xdr:colOff>91280</xdr:colOff>
      <xdr:row>32</xdr:row>
      <xdr:rowOff>71439</xdr:rowOff>
    </xdr:from>
    <xdr:to>
      <xdr:col>38</xdr:col>
      <xdr:colOff>247650</xdr:colOff>
      <xdr:row>43</xdr:row>
      <xdr:rowOff>1</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29256830" y="8872539"/>
          <a:ext cx="12024520" cy="2652712"/>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＜留意事項＞</a:t>
          </a:r>
          <a:endParaRPr kumimoji="1" lang="en-US" altLang="ja-JP" sz="1100" b="1">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①</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「種類」欄はプルダウンリストから選択してください。</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申請できる個人防護具の種類は、</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マスク、ゴーグル、ガウン、グローブ、キャップ、フェイスシールド</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日（診療・検査医療機関の指定を受けた日が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日以降の場合は、指定日）から令和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日（または、診療・検査医療機関の指定取り下げ日）までの期間内に使用する分を申請してください。</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②「単価（税抜）」欄と「単価（税込）」欄については、</a:t>
          </a:r>
          <a:r>
            <a:rPr kumimoji="1" lang="ja-JP" altLang="en-US" sz="1100">
              <a:solidFill>
                <a:srgbClr val="FF0000"/>
              </a:solidFill>
              <a:latin typeface="ＭＳ ゴシック" panose="020B0609070205080204" pitchFamily="49" charset="-128"/>
              <a:ea typeface="ＭＳ ゴシック" panose="020B0609070205080204" pitchFamily="49" charset="-128"/>
            </a:rPr>
            <a:t>どちらか一方を</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入力して下さい。（最終的に、</a:t>
          </a:r>
          <a:r>
            <a:rPr kumimoji="1" lang="ja-JP" altLang="en-US" sz="1100">
              <a:solidFill>
                <a:srgbClr val="FF0000"/>
              </a:solidFill>
              <a:latin typeface="ＭＳ ゴシック" panose="020B0609070205080204" pitchFamily="49" charset="-128"/>
              <a:ea typeface="ＭＳ ゴシック" panose="020B0609070205080204" pitchFamily="49" charset="-128"/>
            </a:rPr>
            <a:t>「金額（税込）」欄が、見積書等（発注・契約書、納品書、請求書、領収書など）と一致</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するようにしてください。）</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③「添付書類番号」欄に番号を入力いただき、照合できるように、</a:t>
          </a:r>
          <a:r>
            <a:rPr kumimoji="1" lang="ja-JP" altLang="en-US" sz="1100">
              <a:solidFill>
                <a:srgbClr val="FF0000"/>
              </a:solidFill>
              <a:latin typeface="ＭＳ ゴシック" panose="020B0609070205080204" pitchFamily="49" charset="-128"/>
              <a:ea typeface="ＭＳ ゴシック" panose="020B0609070205080204" pitchFamily="49" charset="-128"/>
            </a:rPr>
            <a:t>各品目に対する見積書等（発注・契約書、納品書、請求書、領収書など）に番号を付記してください。</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13</xdr:col>
          <xdr:colOff>44450</xdr:colOff>
          <xdr:row>11</xdr:row>
          <xdr:rowOff>3175</xdr:rowOff>
        </xdr:from>
        <xdr:to>
          <xdr:col>22</xdr:col>
          <xdr:colOff>158750</xdr:colOff>
          <xdr:row>112</xdr:row>
          <xdr:rowOff>18256</xdr:rowOff>
        </xdr:to>
        <xdr:pic>
          <xdr:nvPicPr>
            <xdr:cNvPr id="6" name="図 5">
              <a:extLst>
                <a:ext uri="{FF2B5EF4-FFF2-40B4-BE49-F238E27FC236}">
                  <a16:creationId xmlns:a16="http://schemas.microsoft.com/office/drawing/2014/main" id="{00000000-0008-0000-0800-000006000000}"/>
                </a:ext>
              </a:extLst>
            </xdr:cNvPr>
            <xdr:cNvPicPr>
              <a:picLocks noChangeAspect="1" noChangeArrowheads="1"/>
              <a:extLst>
                <a:ext uri="{84589F7E-364E-4C9E-8A38-B11213B215E9}">
                  <a14:cameraTool cellRange="$AC$12:$AF$112" spid="_x0000_s30996"/>
                </a:ext>
              </a:extLst>
            </xdr:cNvPicPr>
          </xdr:nvPicPr>
          <xdr:blipFill>
            <a:blip xmlns:r="http://schemas.openxmlformats.org/officeDocument/2006/relationships" r:embed="rId1"/>
            <a:srcRect/>
            <a:stretch>
              <a:fillRect/>
            </a:stretch>
          </xdr:blipFill>
          <xdr:spPr bwMode="auto">
            <a:xfrm>
              <a:off x="7632700" y="2987675"/>
              <a:ext cx="7877175" cy="256571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159204</xdr:colOff>
          <xdr:row>4</xdr:row>
          <xdr:rowOff>431347</xdr:rowOff>
        </xdr:from>
        <xdr:to>
          <xdr:col>22</xdr:col>
          <xdr:colOff>54428</xdr:colOff>
          <xdr:row>9</xdr:row>
          <xdr:rowOff>133277</xdr:rowOff>
        </xdr:to>
        <xdr:pic>
          <xdr:nvPicPr>
            <xdr:cNvPr id="7" name="図 6">
              <a:extLst>
                <a:ext uri="{FF2B5EF4-FFF2-40B4-BE49-F238E27FC236}">
                  <a16:creationId xmlns:a16="http://schemas.microsoft.com/office/drawing/2014/main" id="{00000000-0008-0000-0800-000007000000}"/>
                </a:ext>
              </a:extLst>
            </xdr:cNvPr>
            <xdr:cNvPicPr>
              <a:picLocks noChangeAspect="1" noChangeArrowheads="1"/>
              <a:extLst>
                <a:ext uri="{84589F7E-364E-4C9E-8A38-B11213B215E9}">
                  <a14:cameraTool cellRange="$AL$117:$AO$120" spid="_x0000_s30997"/>
                </a:ext>
              </a:extLst>
            </xdr:cNvPicPr>
          </xdr:nvPicPr>
          <xdr:blipFill>
            <a:blip xmlns:r="http://schemas.openxmlformats.org/officeDocument/2006/relationships" r:embed="rId2"/>
            <a:srcRect/>
            <a:stretch>
              <a:fillRect/>
            </a:stretch>
          </xdr:blipFill>
          <xdr:spPr bwMode="auto">
            <a:xfrm>
              <a:off x="7738383" y="989240"/>
              <a:ext cx="7678509" cy="1406224"/>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76730</xdr:colOff>
          <xdr:row>4</xdr:row>
          <xdr:rowOff>557047</xdr:rowOff>
        </xdr:from>
        <xdr:to>
          <xdr:col>12</xdr:col>
          <xdr:colOff>95250</xdr:colOff>
          <xdr:row>8</xdr:row>
          <xdr:rowOff>136475</xdr:rowOff>
        </xdr:to>
        <xdr:pic>
          <xdr:nvPicPr>
            <xdr:cNvPr id="5" name="図 4">
              <a:extLst>
                <a:ext uri="{FF2B5EF4-FFF2-40B4-BE49-F238E27FC236}">
                  <a16:creationId xmlns:a16="http://schemas.microsoft.com/office/drawing/2014/main" id="{00000000-0008-0000-0800-000005000000}"/>
                </a:ext>
              </a:extLst>
            </xdr:cNvPr>
            <xdr:cNvPicPr>
              <a:picLocks noChangeAspect="1" noChangeArrowheads="1"/>
              <a:extLst>
                <a:ext uri="{84589F7E-364E-4C9E-8A38-B11213B215E9}">
                  <a14:cameraTool cellRange="$AQ$122:$AS$128" spid="_x0000_s30998"/>
                </a:ext>
              </a:extLst>
            </xdr:cNvPicPr>
          </xdr:nvPicPr>
          <xdr:blipFill>
            <a:blip xmlns:r="http://schemas.openxmlformats.org/officeDocument/2006/relationships" r:embed="rId3"/>
            <a:srcRect/>
            <a:stretch>
              <a:fillRect/>
            </a:stretch>
          </xdr:blipFill>
          <xdr:spPr bwMode="auto">
            <a:xfrm>
              <a:off x="7871355" y="1446047"/>
              <a:ext cx="1891770" cy="1103428"/>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xdr:from>
      <xdr:col>6</xdr:col>
      <xdr:colOff>359833</xdr:colOff>
      <xdr:row>9</xdr:row>
      <xdr:rowOff>10583</xdr:rowOff>
    </xdr:from>
    <xdr:to>
      <xdr:col>7</xdr:col>
      <xdr:colOff>423333</xdr:colOff>
      <xdr:row>10</xdr:row>
      <xdr:rowOff>963083</xdr:rowOff>
    </xdr:to>
    <xdr:cxnSp macro="">
      <xdr:nvCxnSpPr>
        <xdr:cNvPr id="8" name="直線矢印コネクタ 7">
          <a:extLst>
            <a:ext uri="{FF2B5EF4-FFF2-40B4-BE49-F238E27FC236}">
              <a16:creationId xmlns:a16="http://schemas.microsoft.com/office/drawing/2014/main" id="{00000000-0008-0000-0800-000008000000}"/>
            </a:ext>
          </a:extLst>
        </xdr:cNvPr>
        <xdr:cNvCxnSpPr/>
      </xdr:nvCxnSpPr>
      <xdr:spPr>
        <a:xfrm flipH="1" flipV="1">
          <a:off x="4773083" y="2614083"/>
          <a:ext cx="603250" cy="1270000"/>
        </a:xfrm>
        <a:prstGeom prst="straightConnector1">
          <a:avLst/>
        </a:prstGeom>
        <a:ln w="28575">
          <a:solidFill>
            <a:srgbClr val="FFC000"/>
          </a:solidFill>
          <a:prstDash val="dash"/>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10</xdr:col>
      <xdr:colOff>0</xdr:colOff>
      <xdr:row>9</xdr:row>
      <xdr:rowOff>0</xdr:rowOff>
    </xdr:from>
    <xdr:to>
      <xdr:col>11</xdr:col>
      <xdr:colOff>1185333</xdr:colOff>
      <xdr:row>10</xdr:row>
      <xdr:rowOff>889001</xdr:rowOff>
    </xdr:to>
    <xdr:sp macro="" textlink="">
      <xdr:nvSpPr>
        <xdr:cNvPr id="9" name="吹き出し: 角を丸めた四角形 2">
          <a:extLst>
            <a:ext uri="{FF2B5EF4-FFF2-40B4-BE49-F238E27FC236}">
              <a16:creationId xmlns:a16="http://schemas.microsoft.com/office/drawing/2014/main" id="{00000000-0008-0000-0800-000009000000}"/>
            </a:ext>
          </a:extLst>
        </xdr:cNvPr>
        <xdr:cNvSpPr/>
      </xdr:nvSpPr>
      <xdr:spPr>
        <a:xfrm>
          <a:off x="7794625" y="2603500"/>
          <a:ext cx="1867958" cy="1206501"/>
        </a:xfrm>
        <a:prstGeom prst="wedgeRoundRectCallout">
          <a:avLst>
            <a:gd name="adj1" fmla="val -30384"/>
            <a:gd name="adj2" fmla="val 5897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交付申請の際は見積書、カタログ等の提出は不要ですので必要情報が入力されると「－」が表示されます。</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371475</xdr:colOff>
          <xdr:row>5</xdr:row>
          <xdr:rowOff>28575</xdr:rowOff>
        </xdr:from>
        <xdr:to>
          <xdr:col>1</xdr:col>
          <xdr:colOff>790575</xdr:colOff>
          <xdr:row>5</xdr:row>
          <xdr:rowOff>266700</xdr:rowOff>
        </xdr:to>
        <xdr:sp macro="" textlink="">
          <xdr:nvSpPr>
            <xdr:cNvPr id="7302" name="Check Box 134" hidden="1">
              <a:extLst>
                <a:ext uri="{63B3BB69-23CF-44E3-9099-C40C66FF867C}">
                  <a14:compatExt spid="_x0000_s7302"/>
                </a:ext>
                <a:ext uri="{FF2B5EF4-FFF2-40B4-BE49-F238E27FC236}">
                  <a16:creationId xmlns:a16="http://schemas.microsoft.com/office/drawing/2014/main" id="{00000000-0008-0000-0900-00008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523875</xdr:colOff>
          <xdr:row>4</xdr:row>
          <xdr:rowOff>314325</xdr:rowOff>
        </xdr:from>
        <xdr:to>
          <xdr:col>4</xdr:col>
          <xdr:colOff>904875</xdr:colOff>
          <xdr:row>5</xdr:row>
          <xdr:rowOff>276225</xdr:rowOff>
        </xdr:to>
        <xdr:sp macro="" textlink="">
          <xdr:nvSpPr>
            <xdr:cNvPr id="7304" name="Check Box 136" hidden="1">
              <a:extLst>
                <a:ext uri="{63B3BB69-23CF-44E3-9099-C40C66FF867C}">
                  <a14:compatExt spid="_x0000_s7304"/>
                </a:ext>
                <a:ext uri="{FF2B5EF4-FFF2-40B4-BE49-F238E27FC236}">
                  <a16:creationId xmlns:a16="http://schemas.microsoft.com/office/drawing/2014/main" id="{00000000-0008-0000-0900-00008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1057275</xdr:colOff>
          <xdr:row>5</xdr:row>
          <xdr:rowOff>9525</xdr:rowOff>
        </xdr:from>
        <xdr:to>
          <xdr:col>2</xdr:col>
          <xdr:colOff>1457325</xdr:colOff>
          <xdr:row>5</xdr:row>
          <xdr:rowOff>285750</xdr:rowOff>
        </xdr:to>
        <xdr:sp macro="" textlink="">
          <xdr:nvSpPr>
            <xdr:cNvPr id="7579" name="Check Box 411" hidden="1">
              <a:extLst>
                <a:ext uri="{63B3BB69-23CF-44E3-9099-C40C66FF867C}">
                  <a14:compatExt spid="_x0000_s7579"/>
                </a:ext>
                <a:ext uri="{FF2B5EF4-FFF2-40B4-BE49-F238E27FC236}">
                  <a16:creationId xmlns:a16="http://schemas.microsoft.com/office/drawing/2014/main" id="{00000000-0008-0000-0900-00009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409575</xdr:colOff>
          <xdr:row>15</xdr:row>
          <xdr:rowOff>9525</xdr:rowOff>
        </xdr:from>
        <xdr:to>
          <xdr:col>1</xdr:col>
          <xdr:colOff>838200</xdr:colOff>
          <xdr:row>15</xdr:row>
          <xdr:rowOff>247650</xdr:rowOff>
        </xdr:to>
        <xdr:sp macro="" textlink="">
          <xdr:nvSpPr>
            <xdr:cNvPr id="7969" name="Check Box 801" hidden="1">
              <a:extLst>
                <a:ext uri="{63B3BB69-23CF-44E3-9099-C40C66FF867C}">
                  <a14:compatExt spid="_x0000_s7969"/>
                </a:ext>
                <a:ext uri="{FF2B5EF4-FFF2-40B4-BE49-F238E27FC236}">
                  <a16:creationId xmlns:a16="http://schemas.microsoft.com/office/drawing/2014/main" id="{00000000-0008-0000-0900-0000211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1247775</xdr:colOff>
          <xdr:row>15</xdr:row>
          <xdr:rowOff>19050</xdr:rowOff>
        </xdr:from>
        <xdr:to>
          <xdr:col>2</xdr:col>
          <xdr:colOff>1666875</xdr:colOff>
          <xdr:row>15</xdr:row>
          <xdr:rowOff>266700</xdr:rowOff>
        </xdr:to>
        <xdr:sp macro="" textlink="">
          <xdr:nvSpPr>
            <xdr:cNvPr id="7970" name="Check Box 802" hidden="1">
              <a:extLst>
                <a:ext uri="{63B3BB69-23CF-44E3-9099-C40C66FF867C}">
                  <a14:compatExt spid="_x0000_s7970"/>
                </a:ext>
                <a:ext uri="{FF2B5EF4-FFF2-40B4-BE49-F238E27FC236}">
                  <a16:creationId xmlns:a16="http://schemas.microsoft.com/office/drawing/2014/main" id="{00000000-0008-0000-0900-0000221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215899</xdr:colOff>
          <xdr:row>6</xdr:row>
          <xdr:rowOff>48682</xdr:rowOff>
        </xdr:from>
        <xdr:to>
          <xdr:col>20</xdr:col>
          <xdr:colOff>596899</xdr:colOff>
          <xdr:row>70</xdr:row>
          <xdr:rowOff>228600</xdr:rowOff>
        </xdr:to>
        <xdr:pic>
          <xdr:nvPicPr>
            <xdr:cNvPr id="10" name="図 9">
              <a:extLst>
                <a:ext uri="{FF2B5EF4-FFF2-40B4-BE49-F238E27FC236}">
                  <a16:creationId xmlns:a16="http://schemas.microsoft.com/office/drawing/2014/main" id="{00000000-0008-0000-0900-00000A000000}"/>
                </a:ext>
              </a:extLst>
            </xdr:cNvPr>
            <xdr:cNvPicPr>
              <a:picLocks noChangeAspect="1" noChangeArrowheads="1"/>
              <a:extLst>
                <a:ext uri="{84589F7E-364E-4C9E-8A38-B11213B215E9}">
                  <a14:cameraTool cellRange="$V$7:$Z$71" spid="_x0000_s36919"/>
                </a:ext>
              </a:extLst>
            </xdr:cNvPicPr>
          </xdr:nvPicPr>
          <xdr:blipFill>
            <a:blip xmlns:r="http://schemas.openxmlformats.org/officeDocument/2006/relationships" r:embed="rId1"/>
            <a:srcRect/>
            <a:stretch>
              <a:fillRect/>
            </a:stretch>
          </xdr:blipFill>
          <xdr:spPr bwMode="auto">
            <a:xfrm>
              <a:off x="15189199" y="1801282"/>
              <a:ext cx="10267950" cy="20430068"/>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254000</xdr:colOff>
          <xdr:row>0</xdr:row>
          <xdr:rowOff>84667</xdr:rowOff>
        </xdr:from>
        <xdr:to>
          <xdr:col>20</xdr:col>
          <xdr:colOff>0</xdr:colOff>
          <xdr:row>5</xdr:row>
          <xdr:rowOff>211667</xdr:rowOff>
        </xdr:to>
        <xdr:pic>
          <xdr:nvPicPr>
            <xdr:cNvPr id="12" name="図 11">
              <a:extLst>
                <a:ext uri="{FF2B5EF4-FFF2-40B4-BE49-F238E27FC236}">
                  <a16:creationId xmlns:a16="http://schemas.microsoft.com/office/drawing/2014/main" id="{00000000-0008-0000-0900-00000C000000}"/>
                </a:ext>
              </a:extLst>
            </xdr:cNvPr>
            <xdr:cNvPicPr>
              <a:picLocks noChangeAspect="1" noChangeArrowheads="1"/>
              <a:extLst>
                <a:ext uri="{84589F7E-364E-4C9E-8A38-B11213B215E9}">
                  <a14:cameraTool cellRange="$AD$77:$AQ$82" spid="_x0000_s36920"/>
                </a:ext>
              </a:extLst>
            </xdr:cNvPicPr>
          </xdr:nvPicPr>
          <xdr:blipFill>
            <a:blip xmlns:r="http://schemas.openxmlformats.org/officeDocument/2006/relationships" r:embed="rId2"/>
            <a:srcRect/>
            <a:stretch>
              <a:fillRect/>
            </a:stretch>
          </xdr:blipFill>
          <xdr:spPr bwMode="auto">
            <a:xfrm>
              <a:off x="15097125" y="84667"/>
              <a:ext cx="9556750" cy="1524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xdr:from>
      <xdr:col>8</xdr:col>
      <xdr:colOff>387350</xdr:colOff>
      <xdr:row>1</xdr:row>
      <xdr:rowOff>66675</xdr:rowOff>
    </xdr:from>
    <xdr:to>
      <xdr:col>8</xdr:col>
      <xdr:colOff>5565775</xdr:colOff>
      <xdr:row>5</xdr:row>
      <xdr:rowOff>28575</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8645525" y="381000"/>
          <a:ext cx="5178425" cy="1028700"/>
        </a:xfrm>
        <a:prstGeom prst="rect">
          <a:avLst/>
        </a:prstGeom>
        <a:solidFill>
          <a:schemeClr val="lt1"/>
        </a:solidFill>
        <a:ln w="1905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solidFill>
                <a:srgbClr val="FF0000"/>
              </a:solidFill>
            </a:rPr>
            <a:t>【</a:t>
          </a:r>
          <a:r>
            <a:rPr kumimoji="1" lang="ja-JP" altLang="en-US" sz="1400" b="1">
              <a:solidFill>
                <a:srgbClr val="FF0000"/>
              </a:solidFill>
            </a:rPr>
            <a:t>注意</a:t>
          </a:r>
          <a:r>
            <a:rPr kumimoji="1" lang="en-US" altLang="ja-JP" sz="1400" b="1">
              <a:solidFill>
                <a:srgbClr val="FF0000"/>
              </a:solidFill>
            </a:rPr>
            <a:t>】</a:t>
          </a:r>
        </a:p>
        <a:p>
          <a:r>
            <a:rPr kumimoji="1" lang="ja-JP" altLang="en-US" sz="1400" b="1">
              <a:solidFill>
                <a:srgbClr val="FF0000"/>
              </a:solidFill>
            </a:rPr>
            <a:t>簡易診療室の整備について申請をしない場合は、</a:t>
          </a:r>
          <a:r>
            <a:rPr kumimoji="1" lang="ja-JP" altLang="en-US" sz="1400" b="1" u="sng">
              <a:solidFill>
                <a:srgbClr val="FF0000"/>
              </a:solidFill>
            </a:rPr>
            <a:t>本シートへの入力（チェックを含めて）はしない</a:t>
          </a:r>
          <a:r>
            <a:rPr kumimoji="1" lang="ja-JP" altLang="en-US" sz="1400" b="1">
              <a:solidFill>
                <a:srgbClr val="FF0000"/>
              </a:solidFill>
            </a:rPr>
            <a:t>ようにしてください。</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174624</xdr:colOff>
          <xdr:row>3</xdr:row>
          <xdr:rowOff>47625</xdr:rowOff>
        </xdr:from>
        <xdr:to>
          <xdr:col>16</xdr:col>
          <xdr:colOff>628648</xdr:colOff>
          <xdr:row>13</xdr:row>
          <xdr:rowOff>57150</xdr:rowOff>
        </xdr:to>
        <xdr:pic>
          <xdr:nvPicPr>
            <xdr:cNvPr id="2" name="図 1">
              <a:extLst>
                <a:ext uri="{FF2B5EF4-FFF2-40B4-BE49-F238E27FC236}">
                  <a16:creationId xmlns:a16="http://schemas.microsoft.com/office/drawing/2014/main" id="{00000000-0008-0000-0A00-000002000000}"/>
                </a:ext>
              </a:extLst>
            </xdr:cNvPr>
            <xdr:cNvPicPr>
              <a:picLocks noChangeAspect="1" noChangeArrowheads="1"/>
              <a:extLst>
                <a:ext uri="{84589F7E-364E-4C9E-8A38-B11213B215E9}">
                  <a14:cameraTool cellRange="$X$4:$AD$13" spid="_x0000_s16798"/>
                </a:ext>
              </a:extLst>
            </xdr:cNvPicPr>
          </xdr:nvPicPr>
          <xdr:blipFill>
            <a:blip xmlns:r="http://schemas.openxmlformats.org/officeDocument/2006/relationships" r:embed="rId1"/>
            <a:srcRect/>
            <a:stretch>
              <a:fillRect/>
            </a:stretch>
          </xdr:blipFill>
          <xdr:spPr bwMode="auto">
            <a:xfrm>
              <a:off x="8292041" y="957792"/>
              <a:ext cx="5269441" cy="19145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7.vml"/><Relationship Id="rId7" Type="http://schemas.openxmlformats.org/officeDocument/2006/relationships/ctrlProp" Target="../ctrlProps/ctrlProp7.xml"/><Relationship Id="rId2" Type="http://schemas.openxmlformats.org/officeDocument/2006/relationships/drawing" Target="../drawings/drawing8.xml"/><Relationship Id="rId1" Type="http://schemas.openxmlformats.org/officeDocument/2006/relationships/printerSettings" Target="../printerSettings/printerSettings10.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3:U35"/>
  <sheetViews>
    <sheetView zoomScaleNormal="100" workbookViewId="0">
      <selection activeCell="J10" sqref="J10"/>
    </sheetView>
  </sheetViews>
  <sheetFormatPr defaultColWidth="9" defaultRowHeight="9.75" x14ac:dyDescent="0.4"/>
  <cols>
    <col min="1" max="1" width="6.625" style="73" customWidth="1"/>
    <col min="2" max="2" width="15.625" style="75" customWidth="1"/>
    <col min="3" max="15" width="8.625" style="73" customWidth="1"/>
    <col min="16" max="16" width="3.625" style="184" customWidth="1"/>
    <col min="17" max="17" width="8.625" style="73" customWidth="1"/>
    <col min="18" max="18" width="3.625" style="184" customWidth="1"/>
    <col min="19" max="20" width="8.625" style="73" customWidth="1"/>
    <col min="21" max="21" width="3.625" style="184" customWidth="1"/>
    <col min="22" max="50" width="8.625" style="73" customWidth="1"/>
    <col min="51" max="51" width="20.625" style="73" customWidth="1"/>
    <col min="52" max="52" width="9" style="73"/>
    <col min="53" max="53" width="60.625" style="73" customWidth="1"/>
    <col min="54" max="16384" width="9" style="73"/>
  </cols>
  <sheetData>
    <row r="3" spans="2:5" ht="15" customHeight="1" x14ac:dyDescent="0.4">
      <c r="B3" s="76" t="s">
        <v>158</v>
      </c>
      <c r="D3" s="73" t="s">
        <v>157</v>
      </c>
    </row>
    <row r="4" spans="2:5" ht="15" customHeight="1" x14ac:dyDescent="0.4">
      <c r="D4" s="73" t="s">
        <v>159</v>
      </c>
    </row>
    <row r="5" spans="2:5" ht="15" customHeight="1" x14ac:dyDescent="0.4">
      <c r="D5" s="73" t="s">
        <v>158</v>
      </c>
    </row>
    <row r="6" spans="2:5" ht="15" customHeight="1" x14ac:dyDescent="0.4">
      <c r="D6" s="73" t="s">
        <v>205</v>
      </c>
    </row>
    <row r="7" spans="2:5" ht="15" customHeight="1" x14ac:dyDescent="0.4"/>
    <row r="8" spans="2:5" ht="15" customHeight="1" x14ac:dyDescent="0.4">
      <c r="B8" s="339" t="s">
        <v>306</v>
      </c>
      <c r="C8" s="340" t="s">
        <v>303</v>
      </c>
      <c r="D8" s="340" t="s">
        <v>304</v>
      </c>
      <c r="E8" s="340" t="s">
        <v>305</v>
      </c>
    </row>
    <row r="9" spans="2:5" ht="15" customHeight="1" x14ac:dyDescent="0.4">
      <c r="B9" s="335" t="s">
        <v>292</v>
      </c>
      <c r="C9" s="336">
        <v>2022</v>
      </c>
      <c r="D9" s="336">
        <v>11</v>
      </c>
      <c r="E9" s="336">
        <v>1</v>
      </c>
    </row>
    <row r="10" spans="2:5" ht="15" customHeight="1" x14ac:dyDescent="0.4">
      <c r="B10" s="335" t="s">
        <v>293</v>
      </c>
      <c r="C10" s="337">
        <v>2022</v>
      </c>
      <c r="D10" s="337">
        <v>11</v>
      </c>
      <c r="E10" s="337">
        <v>30</v>
      </c>
    </row>
    <row r="11" spans="2:5" ht="15" customHeight="1" x14ac:dyDescent="0.4">
      <c r="B11" s="335" t="s">
        <v>290</v>
      </c>
      <c r="C11" s="336">
        <v>2023</v>
      </c>
      <c r="D11" s="336">
        <v>2</v>
      </c>
      <c r="E11" s="336">
        <v>6</v>
      </c>
    </row>
    <row r="12" spans="2:5" ht="15" customHeight="1" x14ac:dyDescent="0.4">
      <c r="B12" s="335" t="s">
        <v>291</v>
      </c>
      <c r="C12" s="336">
        <v>2023</v>
      </c>
      <c r="D12" s="336">
        <v>2</v>
      </c>
      <c r="E12" s="336">
        <v>17</v>
      </c>
    </row>
    <row r="13" spans="2:5" ht="15" customHeight="1" x14ac:dyDescent="0.4">
      <c r="B13" s="338" t="s">
        <v>17</v>
      </c>
      <c r="C13" s="336">
        <f>IF(はじめに入力してください!I12=4,2022,IF(はじめに入力してください!I12=5,2023,2022))</f>
        <v>2022</v>
      </c>
      <c r="D13" s="336">
        <f>IF(はじめに入力してください!K12="",4,はじめに入力してください!K12)</f>
        <v>4</v>
      </c>
      <c r="E13" s="336">
        <f>IF(はじめに入力してください!M12="",1,はじめに入力してください!M12)</f>
        <v>1</v>
      </c>
    </row>
    <row r="14" spans="2:5" ht="15" customHeight="1" x14ac:dyDescent="0.4">
      <c r="B14" s="335" t="s">
        <v>969</v>
      </c>
      <c r="C14" s="336" t="e">
        <f>IFERROR(VLOOKUP(MAX(額内訳書!AI7:AI17),額内訳書!AI:AL,2,FALSE),C15)</f>
        <v>#N/A</v>
      </c>
      <c r="D14" s="336" t="e">
        <f>IFERROR(VLOOKUP(MAX(額内訳書!AI7:AI17),額内訳書!AI:AL,3,FALSE),D15)</f>
        <v>#N/A</v>
      </c>
      <c r="E14" s="336" t="e">
        <f>IFERROR(VLOOKUP(MAX(額内訳書!AI7:AI17),額内訳書!AI:AL,4,FALSE),E15)</f>
        <v>#N/A</v>
      </c>
    </row>
    <row r="15" spans="2:5" ht="15" customHeight="1" x14ac:dyDescent="0.4">
      <c r="B15" s="335" t="s">
        <v>196</v>
      </c>
      <c r="C15" s="336" t="e">
        <f>VLOOKUP(はじめに入力してください!L18,リスト!A:BI,59,FALSE)</f>
        <v>#N/A</v>
      </c>
      <c r="D15" s="336" t="e">
        <f>VLOOKUP(はじめに入力してください!L18,リスト!A:BI,60,FALSE)</f>
        <v>#N/A</v>
      </c>
      <c r="E15" s="336" t="e">
        <f>VLOOKUP(はじめに入力してください!L18,リスト!A:BI,61,FALSE)</f>
        <v>#N/A</v>
      </c>
    </row>
    <row r="16" spans="2:5" ht="15" customHeight="1" x14ac:dyDescent="0.4">
      <c r="B16" s="335" t="s">
        <v>307</v>
      </c>
      <c r="C16" s="340">
        <v>2022</v>
      </c>
      <c r="D16" s="340">
        <v>10</v>
      </c>
      <c r="E16" s="340">
        <v>1</v>
      </c>
    </row>
    <row r="17" spans="2:5" ht="15" customHeight="1" x14ac:dyDescent="0.4">
      <c r="B17" s="335" t="s">
        <v>197</v>
      </c>
      <c r="C17" s="336">
        <v>2023</v>
      </c>
      <c r="D17" s="336">
        <v>3</v>
      </c>
      <c r="E17" s="336">
        <v>31</v>
      </c>
    </row>
    <row r="18" spans="2:5" ht="15" customHeight="1" x14ac:dyDescent="0.4"/>
    <row r="19" spans="2:5" ht="15" customHeight="1" x14ac:dyDescent="0.4">
      <c r="B19" s="342" t="s">
        <v>308</v>
      </c>
      <c r="C19" s="340">
        <v>4</v>
      </c>
    </row>
    <row r="20" spans="2:5" ht="15" customHeight="1" x14ac:dyDescent="0.4">
      <c r="B20" s="342"/>
      <c r="C20" s="340">
        <v>5</v>
      </c>
    </row>
    <row r="21" spans="2:5" ht="15" customHeight="1" x14ac:dyDescent="0.4"/>
    <row r="22" spans="2:5" ht="15" customHeight="1" x14ac:dyDescent="0.4">
      <c r="B22" s="341" t="s">
        <v>316</v>
      </c>
      <c r="C22" s="350" t="s">
        <v>148</v>
      </c>
    </row>
    <row r="23" spans="2:5" ht="15" customHeight="1" x14ac:dyDescent="0.4">
      <c r="B23" s="341"/>
      <c r="C23" s="350" t="s">
        <v>149</v>
      </c>
    </row>
    <row r="24" spans="2:5" ht="15" customHeight="1" x14ac:dyDescent="0.4"/>
    <row r="25" spans="2:5" ht="15" customHeight="1" x14ac:dyDescent="0.4"/>
    <row r="26" spans="2:5" ht="15" customHeight="1" x14ac:dyDescent="0.4"/>
    <row r="27" spans="2:5" ht="15" customHeight="1" x14ac:dyDescent="0.4"/>
    <row r="28" spans="2:5" ht="15" customHeight="1" x14ac:dyDescent="0.4"/>
    <row r="29" spans="2:5" ht="15" customHeight="1" x14ac:dyDescent="0.4"/>
    <row r="30" spans="2:5" ht="15" customHeight="1" x14ac:dyDescent="0.4"/>
    <row r="31" spans="2:5" ht="15" customHeight="1" x14ac:dyDescent="0.4"/>
    <row r="32" spans="2:5" ht="15" customHeight="1" x14ac:dyDescent="0.4"/>
    <row r="33" ht="15" customHeight="1" x14ac:dyDescent="0.4"/>
    <row r="34" ht="15" customHeight="1" x14ac:dyDescent="0.4"/>
    <row r="35" ht="15" customHeight="1" x14ac:dyDescent="0.4"/>
  </sheetData>
  <phoneticPr fontId="1"/>
  <dataValidations count="1">
    <dataValidation type="list" allowBlank="1" showInputMessage="1" showErrorMessage="1" sqref="B3 D7" xr:uid="{00000000-0002-0000-0000-000000000000}">
      <formula1>$D$3:$D$6</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AV81"/>
  <sheetViews>
    <sheetView showGridLines="0" view="pageBreakPreview" topLeftCell="B1" zoomScale="70" zoomScaleNormal="100" zoomScaleSheetLayoutView="70" workbookViewId="0">
      <selection activeCell="B17" sqref="B17:J20"/>
    </sheetView>
  </sheetViews>
  <sheetFormatPr defaultColWidth="9" defaultRowHeight="20.100000000000001" customHeight="1" x14ac:dyDescent="0.4"/>
  <cols>
    <col min="1" max="1" width="2.625" style="8" customWidth="1"/>
    <col min="2" max="2" width="15.625" style="8" customWidth="1"/>
    <col min="3" max="3" width="25.625" style="8" customWidth="1"/>
    <col min="4" max="4" width="8.625" style="8" customWidth="1"/>
    <col min="5" max="7" width="15.625" style="8" customWidth="1"/>
    <col min="8" max="8" width="9" style="8"/>
    <col min="9" max="9" width="75.625" style="8" customWidth="1"/>
    <col min="10" max="10" width="8.625" style="8" customWidth="1"/>
    <col min="11" max="11" width="2.625" style="8" customWidth="1"/>
    <col min="12" max="12" width="3.75" style="8" customWidth="1"/>
    <col min="13" max="21" width="15.625" style="8" customWidth="1"/>
    <col min="22" max="22" width="5.625" style="133" customWidth="1"/>
    <col min="23" max="24" width="12.625" style="133" customWidth="1"/>
    <col min="25" max="25" width="90.625" style="62" customWidth="1"/>
    <col min="26" max="28" width="12.625" style="62" customWidth="1"/>
    <col min="29" max="29" width="9" style="8" customWidth="1"/>
    <col min="30" max="16384" width="9" style="8"/>
  </cols>
  <sheetData>
    <row r="1" spans="1:43" ht="24.95" customHeight="1" x14ac:dyDescent="0.4">
      <c r="I1" s="818" t="str">
        <f>"《２次募集》"&amp;はじめに入力してください!AG18</f>
        <v>《２次募集》</v>
      </c>
      <c r="J1" s="819"/>
      <c r="K1" s="819"/>
    </row>
    <row r="2" spans="1:43" ht="24.95" customHeight="1" x14ac:dyDescent="0.4">
      <c r="B2" s="130" t="s">
        <v>88</v>
      </c>
      <c r="D2" s="10" t="s">
        <v>26</v>
      </c>
      <c r="E2" s="854">
        <f>IF(AI79="×",0,IF(AI79="○",0,IF(AI79="◎",SUM(G31:G60))))</f>
        <v>0</v>
      </c>
      <c r="F2" s="855"/>
      <c r="G2" s="856"/>
      <c r="H2" s="131"/>
      <c r="I2" s="132"/>
      <c r="Z2" s="133" t="str">
        <f>IF(AA2=TRUE,"○","×")</f>
        <v>×</v>
      </c>
      <c r="AA2" s="372" t="b">
        <v>0</v>
      </c>
      <c r="AC2" s="133" t="str">
        <f>IF(AD2=TRUE,"○","×")</f>
        <v>×</v>
      </c>
      <c r="AD2" s="372" t="b">
        <v>0</v>
      </c>
    </row>
    <row r="3" spans="1:43" ht="9.9499999999999993" customHeight="1" x14ac:dyDescent="0.4">
      <c r="B3" s="130"/>
      <c r="D3" s="134"/>
      <c r="E3" s="135"/>
      <c r="F3" s="134"/>
      <c r="G3" s="134"/>
      <c r="H3" s="132"/>
      <c r="I3" s="132"/>
      <c r="V3" s="133" t="s">
        <v>73</v>
      </c>
      <c r="Z3" s="133" t="str">
        <f t="shared" ref="Z3" si="0">IF(AA3=TRUE,"○","×")</f>
        <v>×</v>
      </c>
      <c r="AA3" s="372" t="b">
        <v>0</v>
      </c>
      <c r="AC3" s="133" t="str">
        <f>IF(AD3=TRUE,"○","×")</f>
        <v>×</v>
      </c>
      <c r="AD3" s="372" t="b">
        <v>0</v>
      </c>
    </row>
    <row r="4" spans="1:43" ht="24.95" customHeight="1" x14ac:dyDescent="0.4">
      <c r="A4" s="230"/>
      <c r="B4" s="231" t="s">
        <v>168</v>
      </c>
      <c r="C4" s="230"/>
      <c r="D4" s="230"/>
      <c r="E4" s="230"/>
      <c r="F4" s="230"/>
      <c r="G4" s="230"/>
      <c r="H4" s="232"/>
      <c r="I4" s="232"/>
      <c r="J4" s="230"/>
      <c r="K4" s="230"/>
      <c r="L4" s="133"/>
      <c r="T4" s="133"/>
      <c r="V4" s="8"/>
      <c r="Z4" s="133" t="str">
        <f>IF(AA4=TRUE,"○","×")</f>
        <v>×</v>
      </c>
      <c r="AA4" s="372" t="b">
        <v>0</v>
      </c>
    </row>
    <row r="5" spans="1:43" ht="24.95" customHeight="1" x14ac:dyDescent="0.4">
      <c r="B5" s="8" t="s">
        <v>276</v>
      </c>
      <c r="E5" s="136"/>
      <c r="F5" s="136"/>
      <c r="G5" s="136"/>
      <c r="H5" s="136"/>
      <c r="I5" s="136"/>
      <c r="L5" s="133"/>
    </row>
    <row r="6" spans="1:43" ht="24.95" customHeight="1" x14ac:dyDescent="0.4">
      <c r="B6" s="849" t="s">
        <v>277</v>
      </c>
      <c r="C6" s="853"/>
      <c r="D6" s="853"/>
      <c r="E6" s="853"/>
      <c r="F6" s="853"/>
      <c r="G6" s="853"/>
      <c r="H6" s="853"/>
      <c r="I6" s="853"/>
      <c r="L6" s="133"/>
    </row>
    <row r="7" spans="1:43" ht="24.95" customHeight="1" x14ac:dyDescent="0.4">
      <c r="B7" s="827"/>
      <c r="C7" s="828"/>
      <c r="D7" s="828"/>
      <c r="E7" s="828"/>
      <c r="F7" s="828"/>
      <c r="G7" s="828"/>
      <c r="H7" s="828"/>
      <c r="I7" s="829"/>
      <c r="J7" s="830"/>
      <c r="L7" s="133"/>
      <c r="V7" s="8"/>
      <c r="W7" s="8" t="str">
        <f>B4</f>
        <v>１．はじめに</v>
      </c>
      <c r="X7" s="8"/>
      <c r="Y7" s="8"/>
    </row>
    <row r="8" spans="1:43" ht="24.95" customHeight="1" x14ac:dyDescent="0.4">
      <c r="B8" s="831"/>
      <c r="C8" s="832"/>
      <c r="D8" s="832"/>
      <c r="E8" s="832"/>
      <c r="F8" s="832"/>
      <c r="G8" s="832"/>
      <c r="H8" s="832"/>
      <c r="I8" s="833"/>
      <c r="J8" s="834"/>
      <c r="L8" s="133"/>
      <c r="V8" s="8"/>
      <c r="W8" s="10" t="s">
        <v>165</v>
      </c>
      <c r="X8" s="10" t="s">
        <v>108</v>
      </c>
      <c r="Y8" s="9" t="s">
        <v>109</v>
      </c>
    </row>
    <row r="9" spans="1:43" ht="24.95" customHeight="1" x14ac:dyDescent="0.4">
      <c r="B9" s="831"/>
      <c r="C9" s="832"/>
      <c r="D9" s="832"/>
      <c r="E9" s="832"/>
      <c r="F9" s="832"/>
      <c r="G9" s="832"/>
      <c r="H9" s="832"/>
      <c r="I9" s="833"/>
      <c r="J9" s="834"/>
      <c r="L9" s="133"/>
      <c r="V9" s="8"/>
      <c r="W9" s="10" t="s">
        <v>166</v>
      </c>
      <c r="X9" s="10" t="str">
        <f xml:space="preserve">
IF(AND(COUNTIF(Z2:Z3,"○")=0,Z4="×"),"○",
IF(AND(COUNTIF(Z2:Z3,"○")=0,Z4="○"),"◎",
IF(AND(COUNTIF(Z2:Z3,"○")=1,Z4="×"),"◎",
IF(AND(COUNTIF(Z2:Z3,"○")=1,Z4="○"),"×",
IF(AND(COUNTIF(Z2:Z3,"○")=2,Z4="×"),"×",
IF(AND(COUNTIF(Z2:Z3,"○")=2,Z4="○"),"×"))))))</f>
        <v>○</v>
      </c>
      <c r="Y9" s="137" t="str">
        <f xml:space="preserve">
IF(AND(COUNTIF(Z2:Z3,"○")=0,Z4="×"),"申請しない場合は入力不要です。",
IF(AND(COUNTIF(Z2:Z3,"○")=0,Z4="○"),"適切に入力がされました。",
IF(AND(COUNTIF(Z2:Z3,"○")=1,Z4="×"),"適切に入力がされました。",
IF(AND(COUNTIF(Z2:Z3,"○")=1,Z4="○"),"【要修正】いずれか１つのチェックボックスにチェックをしてください。",
IF(AND(COUNTIF(Z2:Z3,"○")=2,Z4="×"),"【要修正】いずれか１つのチェックボックスにチェックをしてください。",
IF(AND(COUNTIF(Z2:Z3,"○")=2,Z4="○"),"【要修正】いずれか１つのチェックボックスにチェックをしてください。"))))))</f>
        <v>申請しない場合は入力不要です。</v>
      </c>
      <c r="AJ9" s="138"/>
      <c r="AK9" s="138"/>
      <c r="AL9" s="138"/>
      <c r="AM9" s="138"/>
      <c r="AN9" s="138"/>
      <c r="AO9" s="138"/>
      <c r="AP9" s="138"/>
      <c r="AQ9" s="138"/>
    </row>
    <row r="10" spans="1:43" ht="24.95" customHeight="1" x14ac:dyDescent="0.4">
      <c r="B10" s="835"/>
      <c r="C10" s="836"/>
      <c r="D10" s="836"/>
      <c r="E10" s="836"/>
      <c r="F10" s="836"/>
      <c r="G10" s="836"/>
      <c r="H10" s="836"/>
      <c r="I10" s="836"/>
      <c r="J10" s="837"/>
      <c r="L10" s="133"/>
      <c r="T10" s="133"/>
      <c r="V10" s="8"/>
      <c r="W10" s="10" t="s">
        <v>167</v>
      </c>
      <c r="X10" s="10" t="str">
        <f xml:space="preserve">
IF(AND(COUNTIF(Z2:Z3,"○")=0,Z4="×",COUNTA(B7)=0),"○",
IF(AND(COUNTIF(Z2:Z3,"○")=0,Z4="×",COUNTA(B7)=1),"×",
IF(AND(COUNTIF(Z2:Z3,"○")=0,Z4="○",COUNTA(B7)=0),"×",
IF(AND(COUNTIF(Z2:Z3,"○")=0,Z4="○",COUNTA(B7)=1),"◎",
IF(AND(COUNTIF(Z2:Z3,"○")=1,Z4="×",COUNTA(B7)=0),"◎",
IF(AND(COUNTIF(Z2:Z3,"○")=1,Z4="×",COUNTA(B7)=1),"◎",
IF(AND(COUNTIF(Z2:Z3,"○")=1,Z4="○",COUNTA(B7)=0),"×",
IF(AND(COUNTIF(Z2:Z3,"○")=1,Z4="○",COUNTA(B7)=1),"×",
IF(AND(COUNTIF(Z2:Z3,"○")=2,Z4="×",COUNTA(B7)=0),"×",
IF(AND(COUNTIF(Z2:Z3,"○")=2,Z4="×",COUNTA(B7)=1),"×",
IF(AND(COUNTIF(Z2:Z3,"○")=2,Z4="○",COUNTA(B7)=0),"×",
IF(AND(COUNTIF(Z2:Z3,"○")=2,Z4="○",COUNTA(B7)=1),"×"))))))))))))</f>
        <v>○</v>
      </c>
      <c r="Y10" s="137" t="str">
        <f xml:space="preserve">
IF(AND(COUNTIF(Z2:Z3,"○")=0,Z4="×",COUNTA(B7)=0),"申請しない場合は入力不要です。",
IF(AND(COUNTIF(Z2:Z3,"○")=0,Z4="×",COUNTA(B7)=1),"【要修正】過去の交付状況のいずれかをチェックしてください。",
IF(AND(COUNTIF(Z2:Z3,"○")=0,Z4="○",COUNTA(B7)=0),"【要修正】追加での整備が必要な理由を記入してください。",
IF(AND(COUNTIF(Z2:Z3,"○")=0,Z4="○",COUNTA(B7)=1),"適切に入力がされました。",
IF(AND(COUNTIF(Z2:Z3,"○")=1,Z4="×",COUNTA(B7)=0),"適切に入力がされました。",
IF(AND(COUNTIF(Z2:Z3,"○")=1,Z4="×",COUNTA(B7)=1),"適切に入力がされました。（追加整備の理由は入力不要です。）",
IF(AND(COUNTIF(Z2:Z3,"○")=1,Z4="○",COUNTA(B7)=0),"【要修正】過去の交付状況はいずれか１つをチェックしてください。",
IF(AND(COUNTIF(Z2:Z3,"○")=1,Z4="○",COUNTA(B7)=1),"【要修正】過去の交付状況はいずれか１つをチェックしてください。",
IF(AND(COUNTIF(Z2:Z3,"○")=2,Z4="×",COUNTA(B7)=0),"【要修正】過去の交付状況はいずれか１つをチェックしてください。",
IF(AND(COUNTIF(Z2:Z3,"○")=2,Z4="×",COUNTA(B7)=1),"【要修正】過去の交付状況はいずれか１つをチェックしてください。",
IF(AND(COUNTIF(Z2:Z3,"○")=2,Z4="○",COUNTA(B7)=0),"【要修正】過去の交付状況はいずれか１つをチェックしてください。",
IF(AND(COUNTIF(Z2:Z3,"○")=2,Z4="○",COUNTA(B7)=1),"【要修正】過去の交付状況はいずれか１つをチェックしてください。"))))))))))))</f>
        <v>申請しない場合は入力不要です。</v>
      </c>
    </row>
    <row r="11" spans="1:43" ht="9.9499999999999993" customHeight="1" x14ac:dyDescent="0.4">
      <c r="B11" s="139"/>
      <c r="C11" s="139"/>
      <c r="D11" s="139"/>
      <c r="E11" s="139"/>
      <c r="F11" s="139"/>
      <c r="G11" s="139"/>
      <c r="H11" s="139"/>
      <c r="I11" s="139"/>
      <c r="L11" s="133"/>
      <c r="V11" s="8"/>
      <c r="W11" s="8"/>
      <c r="X11" s="8"/>
      <c r="Y11" s="8"/>
      <c r="Z11" s="140"/>
      <c r="AE11" s="136"/>
      <c r="AF11" s="136"/>
      <c r="AG11" s="136"/>
      <c r="AH11" s="136"/>
      <c r="AI11" s="141"/>
      <c r="AK11" s="211"/>
      <c r="AL11" s="211"/>
      <c r="AM11" s="211"/>
      <c r="AN11" s="211"/>
      <c r="AO11" s="211"/>
      <c r="AP11" s="211"/>
      <c r="AQ11" s="211"/>
    </row>
    <row r="12" spans="1:43" ht="24.95" customHeight="1" x14ac:dyDescent="0.4">
      <c r="A12" s="230"/>
      <c r="B12" s="233" t="s">
        <v>279</v>
      </c>
      <c r="C12" s="234"/>
      <c r="D12" s="234"/>
      <c r="E12" s="234"/>
      <c r="F12" s="234"/>
      <c r="G12" s="234"/>
      <c r="H12" s="234"/>
      <c r="I12" s="234"/>
      <c r="J12" s="230"/>
      <c r="K12" s="230"/>
      <c r="L12" s="133"/>
      <c r="Z12" s="140"/>
      <c r="AE12" s="136"/>
      <c r="AF12" s="136"/>
      <c r="AG12" s="136"/>
      <c r="AH12" s="136"/>
      <c r="AI12" s="211"/>
      <c r="AK12" s="211"/>
      <c r="AL12" s="211"/>
      <c r="AM12" s="211"/>
      <c r="AN12" s="211"/>
      <c r="AO12" s="211"/>
      <c r="AP12" s="211"/>
      <c r="AQ12" s="211"/>
    </row>
    <row r="13" spans="1:43" ht="24.95" customHeight="1" x14ac:dyDescent="0.4">
      <c r="B13" s="139" t="s">
        <v>280</v>
      </c>
      <c r="C13" s="139"/>
      <c r="D13" s="139"/>
      <c r="E13" s="139"/>
      <c r="F13" s="139"/>
      <c r="G13" s="139"/>
      <c r="H13" s="139"/>
      <c r="I13" s="139"/>
      <c r="L13" s="133"/>
      <c r="V13" s="134"/>
      <c r="Z13" s="140"/>
      <c r="AE13" s="136"/>
      <c r="AF13" s="136"/>
      <c r="AG13" s="136"/>
      <c r="AH13" s="136"/>
      <c r="AI13" s="211"/>
      <c r="AK13" s="211"/>
      <c r="AL13" s="211"/>
      <c r="AM13" s="211"/>
      <c r="AN13" s="211"/>
      <c r="AO13" s="211"/>
      <c r="AP13" s="211"/>
      <c r="AQ13" s="211"/>
    </row>
    <row r="14" spans="1:43" ht="24.95" customHeight="1" x14ac:dyDescent="0.4">
      <c r="B14" s="838" t="s">
        <v>298</v>
      </c>
      <c r="C14" s="618"/>
      <c r="D14" s="618"/>
      <c r="E14" s="618"/>
      <c r="F14" s="618"/>
      <c r="G14" s="618"/>
      <c r="H14" s="618"/>
      <c r="I14" s="618"/>
      <c r="J14" s="618"/>
      <c r="L14" s="133"/>
      <c r="V14" s="136"/>
      <c r="Z14" s="140"/>
      <c r="AE14" s="136"/>
      <c r="AF14" s="136"/>
      <c r="AG14" s="136"/>
      <c r="AH14" s="136"/>
      <c r="AI14" s="211"/>
      <c r="AK14" s="211"/>
      <c r="AL14" s="211"/>
      <c r="AM14" s="211"/>
      <c r="AN14" s="211"/>
      <c r="AO14" s="211"/>
      <c r="AP14" s="211"/>
      <c r="AQ14" s="211"/>
    </row>
    <row r="15" spans="1:43" ht="24.95" customHeight="1" x14ac:dyDescent="0.4">
      <c r="B15" s="618"/>
      <c r="C15" s="618"/>
      <c r="D15" s="618"/>
      <c r="E15" s="618"/>
      <c r="F15" s="618"/>
      <c r="G15" s="618"/>
      <c r="H15" s="618"/>
      <c r="I15" s="618"/>
      <c r="J15" s="618"/>
      <c r="L15" s="133"/>
      <c r="V15" s="134"/>
      <c r="Z15" s="140"/>
      <c r="AE15" s="136"/>
      <c r="AF15" s="136"/>
      <c r="AG15" s="136"/>
      <c r="AH15" s="136"/>
      <c r="AI15" s="211"/>
      <c r="AK15" s="211"/>
      <c r="AL15" s="211"/>
      <c r="AM15" s="211"/>
      <c r="AN15" s="211"/>
      <c r="AO15" s="211"/>
      <c r="AP15" s="211"/>
      <c r="AQ15" s="211"/>
    </row>
    <row r="16" spans="1:43" ht="24.95" customHeight="1" x14ac:dyDescent="0.4">
      <c r="B16" s="139" t="s">
        <v>281</v>
      </c>
      <c r="C16" s="139"/>
      <c r="D16" s="139"/>
      <c r="E16" s="139"/>
      <c r="F16" s="139"/>
      <c r="G16" s="139"/>
      <c r="H16" s="139"/>
      <c r="I16" s="139"/>
      <c r="L16" s="133"/>
      <c r="V16" s="8"/>
      <c r="W16" s="8" t="str">
        <f>B12</f>
        <v>２．整備方法</v>
      </c>
      <c r="X16" s="8"/>
      <c r="Y16" s="8"/>
      <c r="Z16" s="140"/>
      <c r="AE16" s="136"/>
      <c r="AF16" s="136"/>
      <c r="AG16" s="136"/>
      <c r="AH16" s="136"/>
      <c r="AI16" s="211"/>
      <c r="AK16" s="211"/>
      <c r="AL16" s="211"/>
      <c r="AM16" s="211"/>
      <c r="AN16" s="211"/>
      <c r="AO16" s="211"/>
      <c r="AP16" s="211"/>
      <c r="AQ16" s="211"/>
    </row>
    <row r="17" spans="1:43" ht="24.95" customHeight="1" x14ac:dyDescent="0.4">
      <c r="B17" s="827"/>
      <c r="C17" s="828"/>
      <c r="D17" s="828"/>
      <c r="E17" s="828"/>
      <c r="F17" s="828"/>
      <c r="G17" s="828"/>
      <c r="H17" s="828"/>
      <c r="I17" s="829"/>
      <c r="J17" s="830"/>
      <c r="L17" s="133"/>
      <c r="V17" s="8"/>
      <c r="W17" s="210" t="s">
        <v>110</v>
      </c>
      <c r="X17" s="210" t="s">
        <v>68</v>
      </c>
      <c r="Y17" s="212" t="s">
        <v>78</v>
      </c>
    </row>
    <row r="18" spans="1:43" ht="24.95" customHeight="1" x14ac:dyDescent="0.4">
      <c r="B18" s="831"/>
      <c r="C18" s="832"/>
      <c r="D18" s="832"/>
      <c r="E18" s="832"/>
      <c r="F18" s="832"/>
      <c r="G18" s="832"/>
      <c r="H18" s="832"/>
      <c r="I18" s="833"/>
      <c r="J18" s="834"/>
      <c r="L18" s="133"/>
      <c r="V18" s="8"/>
      <c r="W18" s="210" t="s">
        <v>166</v>
      </c>
      <c r="X18" s="210" t="str">
        <f xml:space="preserve">
IF(AND(AC2="×",AC3="×"),"○",
IF(AND(AC2="×",AC3="○"),"◎",
IF(AND(AC2="○",AC3="×"),"◎",
IF(AND(AC2="○",AC3="○"),"×"))))</f>
        <v>○</v>
      </c>
      <c r="Y18" s="137" t="str">
        <f xml:space="preserve">
IF(AND(AC2="×",AC3="×"),"申請しない場合は入力不要です。",
IF(AND(AC2="×",AC3="○"),"適切に入力がされました。",
IF(AND(AC2="○",AC3="×"),"適切に入力がされました。",
IF(AND(AC2="○",AC3="○"),"【要修正】いずれか１つのチェックボックスをチェックしてください。"))))</f>
        <v>申請しない場合は入力不要です。</v>
      </c>
    </row>
    <row r="19" spans="1:43" ht="24.95" customHeight="1" x14ac:dyDescent="0.4">
      <c r="B19" s="831"/>
      <c r="C19" s="832"/>
      <c r="D19" s="832"/>
      <c r="E19" s="832"/>
      <c r="F19" s="832"/>
      <c r="G19" s="832"/>
      <c r="H19" s="832"/>
      <c r="I19" s="833"/>
      <c r="J19" s="834"/>
      <c r="L19" s="133"/>
      <c r="V19" s="8"/>
      <c r="W19" s="210" t="s">
        <v>282</v>
      </c>
      <c r="X19" s="210" t="str">
        <f xml:space="preserve">
IF(AND(AC2="×",AC3="×",COUNTA(B17)=0),"○",
IF(AND(AC2="×",AC3="×",COUNTA(B17)=1),"○",
IF(AND(AC2="×",AC3="○",COUNTA(B17)=0),"×",
IF(AND(AC2="×",AC3="○",COUNTA(B17)=1),"◎",
IF(AND(AC2="○",AC3="×",COUNTA(B17)=0),"◎",
IF(AND(AC2="○",AC3="×",COUNTA(B17)=1),"◎",
IF(AND(AC2="○",AC3="○",COUNTA(B17)=0),"×",
IF(AND(AC2="○",AC3="○",COUNTA(B17)=1),"×"))))))))</f>
        <v>○</v>
      </c>
      <c r="Y19" s="137" t="str">
        <f xml:space="preserve">
IF(AND(AC2="×",AC3="×",COUNTA(B17)=0),"申請しない場合は入力不要です。",
IF(AND(AC2="×",AC3="×",COUNTA(B17)=1),"申請しない場合は入力不要です。（記述欄の入力は不要です。）",
IF(AND(AC2="×",AC3="○",COUNTA(B17)=0),"【要修正】購入による整備とした理由を入力してください。",
IF(AND(AC2="×",AC3="○",COUNTA(B17)=1),"適切に入力がされました。",
IF(AND(AC2="○",AC3="×",COUNTA(B17)=0),"適切に入力がされました。",
IF(AND(AC2="○",AC3="×",COUNTA(B17)=1),"適切に入力がされました。（記述欄の入力は不要です。）",
IF(AND(AC2="○",AC3="○",COUNTA(B17)=0),"【要修正】チェックボックスがいずれもチェックされています。",
IF(AND(AC2="○",AC3="○",COUNTA(B17)=1),"【要修正】チェックボックスがいずれもチェックされています。"))))))))</f>
        <v>申請しない場合は入力不要です。</v>
      </c>
      <c r="AJ19" s="209"/>
      <c r="AK19" s="209"/>
      <c r="AL19" s="209"/>
      <c r="AM19" s="209"/>
      <c r="AN19" s="209"/>
      <c r="AO19" s="209"/>
      <c r="AP19" s="209"/>
      <c r="AQ19" s="209"/>
    </row>
    <row r="20" spans="1:43" ht="24.95" customHeight="1" x14ac:dyDescent="0.4">
      <c r="B20" s="835"/>
      <c r="C20" s="836"/>
      <c r="D20" s="836"/>
      <c r="E20" s="836"/>
      <c r="F20" s="836"/>
      <c r="G20" s="836"/>
      <c r="H20" s="836"/>
      <c r="I20" s="836"/>
      <c r="J20" s="837"/>
      <c r="L20" s="133"/>
      <c r="T20" s="133"/>
      <c r="V20" s="8"/>
      <c r="W20" s="8"/>
      <c r="X20" s="8"/>
      <c r="Y20" s="8"/>
    </row>
    <row r="21" spans="1:43" ht="9.9499999999999993" customHeight="1" x14ac:dyDescent="0.4">
      <c r="B21" s="139"/>
      <c r="C21" s="139"/>
      <c r="D21" s="139"/>
      <c r="E21" s="139"/>
      <c r="F21" s="139"/>
      <c r="G21" s="139"/>
      <c r="H21" s="139"/>
      <c r="I21" s="139"/>
      <c r="L21" s="133"/>
      <c r="W21" s="8"/>
      <c r="X21" s="8"/>
      <c r="Y21" s="8"/>
      <c r="Z21" s="140"/>
      <c r="AE21" s="136"/>
      <c r="AF21" s="136"/>
      <c r="AG21" s="136"/>
      <c r="AH21" s="136"/>
      <c r="AI21" s="211"/>
      <c r="AK21" s="211"/>
      <c r="AL21" s="211"/>
      <c r="AM21" s="211"/>
      <c r="AN21" s="211"/>
      <c r="AO21" s="211"/>
      <c r="AP21" s="211"/>
      <c r="AQ21" s="211"/>
    </row>
    <row r="22" spans="1:43" ht="24.95" customHeight="1" x14ac:dyDescent="0.4">
      <c r="A22" s="230"/>
      <c r="B22" s="231" t="s">
        <v>278</v>
      </c>
      <c r="C22" s="230"/>
      <c r="D22" s="230"/>
      <c r="E22" s="230"/>
      <c r="F22" s="230"/>
      <c r="G22" s="230"/>
      <c r="H22" s="230"/>
      <c r="I22" s="230"/>
      <c r="J22" s="230"/>
      <c r="K22" s="230"/>
      <c r="L22" s="133"/>
      <c r="AE22" s="141"/>
      <c r="AF22" s="141"/>
      <c r="AG22" s="141"/>
      <c r="AH22" s="134"/>
      <c r="AI22" s="141"/>
      <c r="AK22" s="211"/>
      <c r="AL22" s="211"/>
      <c r="AM22" s="211"/>
      <c r="AN22" s="211"/>
      <c r="AO22" s="211"/>
      <c r="AP22" s="211"/>
      <c r="AQ22" s="211"/>
    </row>
    <row r="23" spans="1:43" ht="60" customHeight="1" x14ac:dyDescent="0.4">
      <c r="B23" s="839" t="s">
        <v>321</v>
      </c>
      <c r="C23" s="840"/>
      <c r="D23" s="840"/>
      <c r="E23" s="840"/>
      <c r="F23" s="840"/>
      <c r="G23" s="840"/>
      <c r="H23" s="840"/>
      <c r="I23" s="840"/>
      <c r="J23" s="840"/>
      <c r="L23" s="133"/>
    </row>
    <row r="24" spans="1:43" ht="5.0999999999999996" customHeight="1" x14ac:dyDescent="0.4">
      <c r="B24" s="235"/>
      <c r="C24" s="236"/>
      <c r="D24" s="236"/>
      <c r="E24" s="236"/>
      <c r="F24" s="236"/>
      <c r="G24" s="236"/>
      <c r="H24" s="236"/>
      <c r="I24" s="236"/>
      <c r="J24" s="236"/>
      <c r="L24" s="133"/>
    </row>
    <row r="25" spans="1:43" ht="24.95" customHeight="1" x14ac:dyDescent="0.4">
      <c r="E25" s="843" t="s">
        <v>264</v>
      </c>
      <c r="F25" s="844"/>
      <c r="G25" s="236"/>
      <c r="L25" s="133"/>
    </row>
    <row r="26" spans="1:43" ht="24.95" customHeight="1" x14ac:dyDescent="0.4">
      <c r="E26" s="260" t="s">
        <v>265</v>
      </c>
      <c r="F26" s="371"/>
      <c r="G26" s="259" t="s">
        <v>296</v>
      </c>
      <c r="L26" s="133"/>
    </row>
    <row r="27" spans="1:43" ht="24.95" customHeight="1" x14ac:dyDescent="0.4">
      <c r="B27" s="136"/>
      <c r="C27" s="136"/>
      <c r="E27" s="260" t="s">
        <v>266</v>
      </c>
      <c r="F27" s="261">
        <f>ROUNDUP(F26/1.1,2)</f>
        <v>0</v>
      </c>
      <c r="G27" s="236"/>
      <c r="L27" s="133"/>
    </row>
    <row r="28" spans="1:43" ht="24.95" customHeight="1" x14ac:dyDescent="0.4">
      <c r="C28" s="237"/>
      <c r="D28" s="236"/>
      <c r="E28" s="144" t="s">
        <v>285</v>
      </c>
      <c r="G28" s="237"/>
      <c r="H28" s="236"/>
      <c r="I28" s="236"/>
      <c r="J28" s="236"/>
      <c r="L28" s="133"/>
      <c r="W28" s="142" t="str">
        <f>B22</f>
        <v>３．簡易診療室情報</v>
      </c>
    </row>
    <row r="29" spans="1:43" ht="5.0999999999999996" customHeight="1" x14ac:dyDescent="0.4">
      <c r="B29" s="841"/>
      <c r="C29" s="842"/>
      <c r="D29" s="842"/>
      <c r="E29" s="842"/>
      <c r="F29" s="842"/>
      <c r="G29" s="842"/>
      <c r="H29" s="842"/>
      <c r="I29" s="842"/>
      <c r="J29" s="842"/>
      <c r="L29" s="133"/>
    </row>
    <row r="30" spans="1:43" ht="24.95" customHeight="1" x14ac:dyDescent="0.4">
      <c r="B30" s="64" t="s">
        <v>57</v>
      </c>
      <c r="C30" s="64" t="s">
        <v>261</v>
      </c>
      <c r="D30" s="64" t="s">
        <v>24</v>
      </c>
      <c r="E30" s="64" t="s">
        <v>75</v>
      </c>
      <c r="F30" s="64" t="s">
        <v>76</v>
      </c>
      <c r="G30" s="64" t="s">
        <v>77</v>
      </c>
      <c r="H30" s="858" t="s">
        <v>172</v>
      </c>
      <c r="I30" s="859"/>
      <c r="J30" s="64" t="s">
        <v>25</v>
      </c>
      <c r="W30" s="10" t="s">
        <v>165</v>
      </c>
      <c r="X30" s="65" t="s">
        <v>74</v>
      </c>
      <c r="Y30" s="64" t="s">
        <v>78</v>
      </c>
      <c r="Z30" s="238"/>
      <c r="AA30" s="140"/>
      <c r="AB30" s="140"/>
      <c r="AC30" s="264" t="s">
        <v>294</v>
      </c>
      <c r="AD30" s="136"/>
    </row>
    <row r="31" spans="1:43" ht="24.95" customHeight="1" x14ac:dyDescent="0.4">
      <c r="A31" s="62">
        <v>1</v>
      </c>
      <c r="B31" s="367"/>
      <c r="C31" s="368"/>
      <c r="D31" s="369"/>
      <c r="E31" s="370"/>
      <c r="F31" s="269">
        <f>ROUNDDOWN(E31*1.1,0)</f>
        <v>0</v>
      </c>
      <c r="G31" s="224">
        <f>ROUNDDOWN(D31*F31,0)</f>
        <v>0</v>
      </c>
      <c r="H31" s="860"/>
      <c r="I31" s="861"/>
      <c r="J31" s="212" t="str">
        <f>IF(X31="◎",COUNTIF($X$31:X31,"◎"),"")</f>
        <v/>
      </c>
      <c r="V31" s="133" t="s">
        <v>72</v>
      </c>
      <c r="W31" s="143">
        <v>1</v>
      </c>
      <c r="X31" s="10" t="str">
        <f xml:space="preserve">
IF(SUM(COUNTA(B31:E31),COUNTA(H31))=0,"○",
IF(AND(SUM(COUNTA(B31:E31),COUNTA(H31))&gt;=1,SUM(COUNTA(B31:E31),COUNTA(H31))&lt;5),"×",
IF(SUM(COUNTA(B31:E31),COUNTA(H31))=5,"◎")))</f>
        <v>○</v>
      </c>
      <c r="Y31" s="137" t="str">
        <f xml:space="preserve">
IF(SUM(COUNTA(B31:E31),COUNTA(H31))=0,"申請しない場合は入力不要です。",
IF(AND(SUM(COUNTA(B31:E31),COUNTA(H31))&gt;=1,SUM(COUNTA(B31:E31),COUNTA(H31))&lt;5),"【要修正】入力が不十分な箇所があります。",
IF(SUM(COUNTA(B31:E31),COUNTA(H31))=5,"適切に入力がされました。")))</f>
        <v>申請しない場合は入力不要です。</v>
      </c>
      <c r="Z31" s="238"/>
      <c r="AA31" s="140"/>
      <c r="AB31" s="140"/>
      <c r="AC31" s="264" t="str">
        <f>IF(X31="×",W31&amp;"/","")</f>
        <v/>
      </c>
      <c r="AD31" s="144"/>
    </row>
    <row r="32" spans="1:43" ht="24.95" customHeight="1" x14ac:dyDescent="0.4">
      <c r="A32" s="62">
        <v>2</v>
      </c>
      <c r="B32" s="367"/>
      <c r="C32" s="368"/>
      <c r="D32" s="369"/>
      <c r="E32" s="370"/>
      <c r="F32" s="269">
        <f t="shared" ref="F32:F70" si="1">ROUNDDOWN(E32*1.1,0)</f>
        <v>0</v>
      </c>
      <c r="G32" s="224">
        <f t="shared" ref="G32:G60" si="2">ROUNDDOWN(D32*F32,0)</f>
        <v>0</v>
      </c>
      <c r="H32" s="845"/>
      <c r="I32" s="846"/>
      <c r="J32" s="212" t="str">
        <f>IF(X32="◎",COUNTIF($X$31:X32,"◎"),"")</f>
        <v/>
      </c>
      <c r="V32" s="133" t="s">
        <v>72</v>
      </c>
      <c r="W32" s="143">
        <v>2</v>
      </c>
      <c r="X32" s="210" t="str">
        <f t="shared" ref="X32:X60" si="3" xml:space="preserve">
IF(SUM(COUNTA(B32:E32),COUNTA(H32))=0,"○",
IF(AND(SUM(COUNTA(B32:E32),COUNTA(H32))&gt;=1,SUM(COUNTA(B32:E32),COUNTA(H32))&lt;5),"×",
IF(SUM(COUNTA(B32:E32),COUNTA(H32))=5,"◎")))</f>
        <v>○</v>
      </c>
      <c r="Y32" s="137" t="str">
        <f t="shared" ref="Y32:Y60" si="4" xml:space="preserve">
IF(SUM(COUNTA(B32:E32),COUNTA(H32))=0,"申請しない場合は入力不要です。",
IF(AND(SUM(COUNTA(B32:E32),COUNTA(H32))&gt;=1,SUM(COUNTA(B32:E32),COUNTA(H32))&lt;5),"【要修正】入力が不十分な箇所があります。",
IF(SUM(COUNTA(B32:E32),COUNTA(H32))=5,"適切に入力がされました。")))</f>
        <v>申請しない場合は入力不要です。</v>
      </c>
      <c r="Z32" s="238"/>
      <c r="AA32" s="140"/>
      <c r="AB32" s="140"/>
      <c r="AC32" s="264" t="str">
        <f t="shared" ref="AC32:AC70" si="5">IF(X32="×",W32&amp;"/","")</f>
        <v/>
      </c>
      <c r="AD32" s="144"/>
    </row>
    <row r="33" spans="1:48" ht="24.95" customHeight="1" x14ac:dyDescent="0.4">
      <c r="A33" s="62">
        <v>3</v>
      </c>
      <c r="B33" s="367"/>
      <c r="C33" s="368"/>
      <c r="D33" s="369"/>
      <c r="E33" s="370"/>
      <c r="F33" s="269">
        <f t="shared" si="1"/>
        <v>0</v>
      </c>
      <c r="G33" s="224">
        <f t="shared" si="2"/>
        <v>0</v>
      </c>
      <c r="H33" s="845"/>
      <c r="I33" s="846"/>
      <c r="J33" s="212" t="str">
        <f>IF(X33="◎",COUNTIF($X$31:X33,"◎"),"")</f>
        <v/>
      </c>
      <c r="V33" s="133" t="s">
        <v>72</v>
      </c>
      <c r="W33" s="143">
        <v>3</v>
      </c>
      <c r="X33" s="210" t="str">
        <f t="shared" si="3"/>
        <v>○</v>
      </c>
      <c r="Y33" s="137" t="str">
        <f t="shared" si="4"/>
        <v>申請しない場合は入力不要です。</v>
      </c>
      <c r="Z33" s="238"/>
      <c r="AA33" s="140"/>
      <c r="AB33" s="140"/>
      <c r="AC33" s="264" t="str">
        <f t="shared" si="5"/>
        <v/>
      </c>
      <c r="AD33" s="144"/>
      <c r="AR33" s="847" t="s">
        <v>89</v>
      </c>
      <c r="AS33" s="848"/>
      <c r="AT33" s="848"/>
      <c r="AU33" s="848"/>
      <c r="AV33" s="848"/>
    </row>
    <row r="34" spans="1:48" ht="24.95" customHeight="1" x14ac:dyDescent="0.4">
      <c r="A34" s="62">
        <v>4</v>
      </c>
      <c r="B34" s="367"/>
      <c r="C34" s="368"/>
      <c r="D34" s="369"/>
      <c r="E34" s="370"/>
      <c r="F34" s="269">
        <f t="shared" si="1"/>
        <v>0</v>
      </c>
      <c r="G34" s="224">
        <f t="shared" si="2"/>
        <v>0</v>
      </c>
      <c r="H34" s="845"/>
      <c r="I34" s="846"/>
      <c r="J34" s="212" t="str">
        <f>IF(X34="◎",COUNTIF($X$31:X34,"◎"),"")</f>
        <v/>
      </c>
      <c r="V34" s="133" t="s">
        <v>72</v>
      </c>
      <c r="W34" s="143">
        <v>4</v>
      </c>
      <c r="X34" s="210" t="str">
        <f t="shared" si="3"/>
        <v>○</v>
      </c>
      <c r="Y34" s="137" t="str">
        <f t="shared" si="4"/>
        <v>申請しない場合は入力不要です。</v>
      </c>
      <c r="Z34" s="238"/>
      <c r="AA34" s="140"/>
      <c r="AB34" s="140"/>
      <c r="AC34" s="264" t="str">
        <f t="shared" si="5"/>
        <v/>
      </c>
      <c r="AD34" s="144"/>
      <c r="AR34" s="849"/>
      <c r="AS34" s="848"/>
      <c r="AT34" s="848"/>
      <c r="AU34" s="848"/>
      <c r="AV34" s="848"/>
    </row>
    <row r="35" spans="1:48" ht="24.95" customHeight="1" x14ac:dyDescent="0.4">
      <c r="A35" s="62">
        <v>5</v>
      </c>
      <c r="B35" s="367"/>
      <c r="C35" s="368"/>
      <c r="D35" s="369"/>
      <c r="E35" s="370"/>
      <c r="F35" s="269">
        <f t="shared" si="1"/>
        <v>0</v>
      </c>
      <c r="G35" s="224">
        <f t="shared" si="2"/>
        <v>0</v>
      </c>
      <c r="H35" s="845"/>
      <c r="I35" s="846"/>
      <c r="J35" s="212" t="str">
        <f>IF(X35="◎",COUNTIF($X$31:X35,"◎"),"")</f>
        <v/>
      </c>
      <c r="V35" s="133" t="s">
        <v>72</v>
      </c>
      <c r="W35" s="143">
        <v>5</v>
      </c>
      <c r="X35" s="210" t="str">
        <f t="shared" si="3"/>
        <v>○</v>
      </c>
      <c r="Y35" s="137" t="str">
        <f t="shared" si="4"/>
        <v>申請しない場合は入力不要です。</v>
      </c>
      <c r="Z35" s="238"/>
      <c r="AA35" s="140"/>
      <c r="AB35" s="140"/>
      <c r="AC35" s="264" t="str">
        <f t="shared" si="5"/>
        <v/>
      </c>
      <c r="AD35" s="144"/>
      <c r="AR35" s="849"/>
      <c r="AS35" s="848"/>
      <c r="AT35" s="848"/>
      <c r="AU35" s="848"/>
      <c r="AV35" s="848"/>
    </row>
    <row r="36" spans="1:48" ht="24.95" customHeight="1" x14ac:dyDescent="0.4">
      <c r="A36" s="62">
        <v>6</v>
      </c>
      <c r="B36" s="367"/>
      <c r="C36" s="368"/>
      <c r="D36" s="369"/>
      <c r="E36" s="370"/>
      <c r="F36" s="269">
        <f t="shared" si="1"/>
        <v>0</v>
      </c>
      <c r="G36" s="224">
        <f t="shared" si="2"/>
        <v>0</v>
      </c>
      <c r="H36" s="845"/>
      <c r="I36" s="846"/>
      <c r="J36" s="212" t="str">
        <f>IF(X36="◎",COUNTIF($X$31:X36,"◎"),"")</f>
        <v/>
      </c>
      <c r="V36" s="133" t="s">
        <v>72</v>
      </c>
      <c r="W36" s="143">
        <v>6</v>
      </c>
      <c r="X36" s="210" t="str">
        <f t="shared" si="3"/>
        <v>○</v>
      </c>
      <c r="Y36" s="137" t="str">
        <f t="shared" si="4"/>
        <v>申請しない場合は入力不要です。</v>
      </c>
      <c r="Z36" s="238"/>
      <c r="AA36" s="140"/>
      <c r="AB36" s="140"/>
      <c r="AC36" s="264" t="str">
        <f t="shared" si="5"/>
        <v/>
      </c>
      <c r="AD36" s="144"/>
      <c r="AR36" s="849"/>
      <c r="AS36" s="848"/>
      <c r="AT36" s="848"/>
      <c r="AU36" s="848"/>
      <c r="AV36" s="848"/>
    </row>
    <row r="37" spans="1:48" ht="24.95" customHeight="1" x14ac:dyDescent="0.4">
      <c r="A37" s="62">
        <v>7</v>
      </c>
      <c r="B37" s="367"/>
      <c r="C37" s="368"/>
      <c r="D37" s="369"/>
      <c r="E37" s="370"/>
      <c r="F37" s="269">
        <f t="shared" si="1"/>
        <v>0</v>
      </c>
      <c r="G37" s="224">
        <f t="shared" si="2"/>
        <v>0</v>
      </c>
      <c r="H37" s="845"/>
      <c r="I37" s="846"/>
      <c r="J37" s="212" t="str">
        <f>IF(X37="◎",COUNTIF($X$31:X37,"◎"),"")</f>
        <v/>
      </c>
      <c r="V37" s="133" t="s">
        <v>72</v>
      </c>
      <c r="W37" s="143">
        <v>7</v>
      </c>
      <c r="X37" s="210" t="str">
        <f t="shared" si="3"/>
        <v>○</v>
      </c>
      <c r="Y37" s="137" t="str">
        <f t="shared" si="4"/>
        <v>申請しない場合は入力不要です。</v>
      </c>
      <c r="Z37" s="238"/>
      <c r="AA37" s="140"/>
      <c r="AB37" s="140"/>
      <c r="AC37" s="264" t="str">
        <f t="shared" si="5"/>
        <v/>
      </c>
      <c r="AD37" s="144"/>
      <c r="AN37" s="136"/>
    </row>
    <row r="38" spans="1:48" ht="24.95" customHeight="1" x14ac:dyDescent="0.4">
      <c r="A38" s="62">
        <v>8</v>
      </c>
      <c r="B38" s="367"/>
      <c r="C38" s="368"/>
      <c r="D38" s="369"/>
      <c r="E38" s="370"/>
      <c r="F38" s="269">
        <f t="shared" si="1"/>
        <v>0</v>
      </c>
      <c r="G38" s="224">
        <f t="shared" si="2"/>
        <v>0</v>
      </c>
      <c r="H38" s="845"/>
      <c r="I38" s="846"/>
      <c r="J38" s="212" t="str">
        <f>IF(X38="◎",COUNTIF($X$31:X38,"◎"),"")</f>
        <v/>
      </c>
      <c r="V38" s="133" t="s">
        <v>72</v>
      </c>
      <c r="W38" s="143">
        <v>8</v>
      </c>
      <c r="X38" s="210" t="str">
        <f t="shared" si="3"/>
        <v>○</v>
      </c>
      <c r="Y38" s="137" t="str">
        <f xml:space="preserve">
IF(SUM(COUNTA(B38:E38),COUNTA(H38))=0,"申請しない場合は入力不要です。",
IF(AND(SUM(COUNTA(B38:E38),COUNTA(H38))&gt;=1,SUM(COUNTA(B38:E38),COUNTA(H38))&lt;5),"【要修正】入力が不十分な箇所があります。",
IF(SUM(COUNTA(B38:E38),COUNTA(H38))=5,"適切に入力がされました。")))</f>
        <v>申請しない場合は入力不要です。</v>
      </c>
      <c r="Z38" s="238"/>
      <c r="AA38" s="140"/>
      <c r="AB38" s="140"/>
      <c r="AC38" s="264" t="str">
        <f t="shared" si="5"/>
        <v/>
      </c>
      <c r="AD38" s="144"/>
    </row>
    <row r="39" spans="1:48" ht="24.95" customHeight="1" x14ac:dyDescent="0.4">
      <c r="A39" s="62">
        <v>9</v>
      </c>
      <c r="B39" s="367"/>
      <c r="C39" s="368"/>
      <c r="D39" s="369"/>
      <c r="E39" s="370"/>
      <c r="F39" s="269">
        <f t="shared" si="1"/>
        <v>0</v>
      </c>
      <c r="G39" s="224">
        <f t="shared" si="2"/>
        <v>0</v>
      </c>
      <c r="H39" s="845"/>
      <c r="I39" s="846"/>
      <c r="J39" s="212" t="str">
        <f>IF(X39="◎",COUNTIF($X$31:X39,"◎"),"")</f>
        <v/>
      </c>
      <c r="V39" s="133" t="s">
        <v>72</v>
      </c>
      <c r="W39" s="143">
        <v>9</v>
      </c>
      <c r="X39" s="210" t="str">
        <f t="shared" si="3"/>
        <v>○</v>
      </c>
      <c r="Y39" s="137" t="str">
        <f t="shared" si="4"/>
        <v>申請しない場合は入力不要です。</v>
      </c>
      <c r="Z39" s="238"/>
      <c r="AA39" s="140"/>
      <c r="AB39" s="140"/>
      <c r="AC39" s="264" t="str">
        <f t="shared" si="5"/>
        <v/>
      </c>
      <c r="AD39" s="144"/>
    </row>
    <row r="40" spans="1:48" ht="24.95" customHeight="1" x14ac:dyDescent="0.4">
      <c r="A40" s="62">
        <v>10</v>
      </c>
      <c r="B40" s="367"/>
      <c r="C40" s="368"/>
      <c r="D40" s="369"/>
      <c r="E40" s="370"/>
      <c r="F40" s="269">
        <f t="shared" si="1"/>
        <v>0</v>
      </c>
      <c r="G40" s="224">
        <f t="shared" si="2"/>
        <v>0</v>
      </c>
      <c r="H40" s="845"/>
      <c r="I40" s="846"/>
      <c r="J40" s="212" t="str">
        <f>IF(X40="◎",COUNTIF($X$31:X40,"◎"),"")</f>
        <v/>
      </c>
      <c r="V40" s="133" t="s">
        <v>72</v>
      </c>
      <c r="W40" s="143">
        <v>10</v>
      </c>
      <c r="X40" s="210" t="str">
        <f t="shared" si="3"/>
        <v>○</v>
      </c>
      <c r="Y40" s="137" t="str">
        <f t="shared" si="4"/>
        <v>申請しない場合は入力不要です。</v>
      </c>
      <c r="Z40" s="238"/>
      <c r="AA40" s="140"/>
      <c r="AB40" s="140"/>
      <c r="AC40" s="264" t="str">
        <f t="shared" si="5"/>
        <v/>
      </c>
      <c r="AD40" s="144"/>
    </row>
    <row r="41" spans="1:48" ht="24.95" customHeight="1" x14ac:dyDescent="0.4">
      <c r="A41" s="62">
        <v>11</v>
      </c>
      <c r="B41" s="367"/>
      <c r="C41" s="368"/>
      <c r="D41" s="369"/>
      <c r="E41" s="370"/>
      <c r="F41" s="269">
        <f t="shared" si="1"/>
        <v>0</v>
      </c>
      <c r="G41" s="224">
        <f t="shared" si="2"/>
        <v>0</v>
      </c>
      <c r="H41" s="845"/>
      <c r="I41" s="846"/>
      <c r="J41" s="212" t="str">
        <f>IF(X41="◎",COUNTIF($X$31:X41,"◎"),"")</f>
        <v/>
      </c>
      <c r="V41" s="133" t="s">
        <v>72</v>
      </c>
      <c r="W41" s="143">
        <v>11</v>
      </c>
      <c r="X41" s="210" t="str">
        <f t="shared" si="3"/>
        <v>○</v>
      </c>
      <c r="Y41" s="137" t="str">
        <f t="shared" si="4"/>
        <v>申請しない場合は入力不要です。</v>
      </c>
      <c r="Z41" s="238"/>
      <c r="AA41" s="140"/>
      <c r="AB41" s="140"/>
      <c r="AC41" s="264" t="str">
        <f t="shared" si="5"/>
        <v/>
      </c>
      <c r="AD41" s="144"/>
    </row>
    <row r="42" spans="1:48" ht="24.95" customHeight="1" x14ac:dyDescent="0.4">
      <c r="A42" s="62">
        <v>12</v>
      </c>
      <c r="B42" s="367"/>
      <c r="C42" s="368"/>
      <c r="D42" s="369"/>
      <c r="E42" s="370"/>
      <c r="F42" s="269">
        <f t="shared" si="1"/>
        <v>0</v>
      </c>
      <c r="G42" s="224">
        <f t="shared" si="2"/>
        <v>0</v>
      </c>
      <c r="H42" s="845"/>
      <c r="I42" s="846"/>
      <c r="J42" s="212" t="str">
        <f>IF(X42="◎",COUNTIF($X$31:X42,"◎"),"")</f>
        <v/>
      </c>
      <c r="V42" s="133" t="s">
        <v>72</v>
      </c>
      <c r="W42" s="143">
        <v>12</v>
      </c>
      <c r="X42" s="210" t="str">
        <f t="shared" si="3"/>
        <v>○</v>
      </c>
      <c r="Y42" s="137" t="str">
        <f t="shared" si="4"/>
        <v>申請しない場合は入力不要です。</v>
      </c>
      <c r="Z42" s="238"/>
      <c r="AA42" s="140"/>
      <c r="AB42" s="140"/>
      <c r="AC42" s="264" t="str">
        <f t="shared" si="5"/>
        <v/>
      </c>
      <c r="AD42" s="144"/>
    </row>
    <row r="43" spans="1:48" ht="24.95" customHeight="1" x14ac:dyDescent="0.4">
      <c r="A43" s="62">
        <v>13</v>
      </c>
      <c r="B43" s="367"/>
      <c r="C43" s="368"/>
      <c r="D43" s="369"/>
      <c r="E43" s="370"/>
      <c r="F43" s="269">
        <f t="shared" si="1"/>
        <v>0</v>
      </c>
      <c r="G43" s="224">
        <f t="shared" si="2"/>
        <v>0</v>
      </c>
      <c r="H43" s="845"/>
      <c r="I43" s="846"/>
      <c r="J43" s="212" t="str">
        <f>IF(X43="◎",COUNTIF($X$31:X43,"◎"),"")</f>
        <v/>
      </c>
      <c r="V43" s="133" t="s">
        <v>72</v>
      </c>
      <c r="W43" s="143">
        <v>13</v>
      </c>
      <c r="X43" s="210" t="str">
        <f t="shared" si="3"/>
        <v>○</v>
      </c>
      <c r="Y43" s="137" t="str">
        <f t="shared" si="4"/>
        <v>申請しない場合は入力不要です。</v>
      </c>
      <c r="Z43" s="238"/>
      <c r="AA43" s="140"/>
      <c r="AB43" s="140"/>
      <c r="AC43" s="264" t="str">
        <f t="shared" si="5"/>
        <v/>
      </c>
      <c r="AD43" s="144"/>
    </row>
    <row r="44" spans="1:48" ht="24.95" customHeight="1" x14ac:dyDescent="0.4">
      <c r="A44" s="62">
        <v>14</v>
      </c>
      <c r="B44" s="367"/>
      <c r="C44" s="368"/>
      <c r="D44" s="369"/>
      <c r="E44" s="370"/>
      <c r="F44" s="269">
        <f t="shared" si="1"/>
        <v>0</v>
      </c>
      <c r="G44" s="224">
        <f t="shared" si="2"/>
        <v>0</v>
      </c>
      <c r="H44" s="845"/>
      <c r="I44" s="846"/>
      <c r="J44" s="212" t="str">
        <f>IF(X44="◎",COUNTIF($X$31:X44,"◎"),"")</f>
        <v/>
      </c>
      <c r="V44" s="133" t="s">
        <v>72</v>
      </c>
      <c r="W44" s="143">
        <v>14</v>
      </c>
      <c r="X44" s="210" t="str">
        <f t="shared" si="3"/>
        <v>○</v>
      </c>
      <c r="Y44" s="137" t="str">
        <f t="shared" si="4"/>
        <v>申請しない場合は入力不要です。</v>
      </c>
      <c r="Z44" s="238"/>
      <c r="AA44" s="140"/>
      <c r="AB44" s="140"/>
      <c r="AC44" s="264" t="str">
        <f t="shared" si="5"/>
        <v/>
      </c>
      <c r="AD44" s="144"/>
    </row>
    <row r="45" spans="1:48" ht="24.95" customHeight="1" x14ac:dyDescent="0.4">
      <c r="A45" s="62">
        <v>15</v>
      </c>
      <c r="B45" s="367"/>
      <c r="C45" s="368"/>
      <c r="D45" s="369"/>
      <c r="E45" s="370"/>
      <c r="F45" s="269">
        <f t="shared" si="1"/>
        <v>0</v>
      </c>
      <c r="G45" s="224">
        <f t="shared" si="2"/>
        <v>0</v>
      </c>
      <c r="H45" s="845"/>
      <c r="I45" s="846"/>
      <c r="J45" s="212" t="str">
        <f>IF(X45="◎",COUNTIF($X$31:X45,"◎"),"")</f>
        <v/>
      </c>
      <c r="V45" s="133" t="s">
        <v>72</v>
      </c>
      <c r="W45" s="143">
        <v>15</v>
      </c>
      <c r="X45" s="210" t="str">
        <f t="shared" si="3"/>
        <v>○</v>
      </c>
      <c r="Y45" s="137" t="str">
        <f t="shared" si="4"/>
        <v>申請しない場合は入力不要です。</v>
      </c>
      <c r="Z45" s="238"/>
      <c r="AA45" s="140"/>
      <c r="AB45" s="140"/>
      <c r="AC45" s="264" t="str">
        <f t="shared" si="5"/>
        <v/>
      </c>
      <c r="AD45" s="144"/>
    </row>
    <row r="46" spans="1:48" ht="24.95" customHeight="1" x14ac:dyDescent="0.4">
      <c r="A46" s="62">
        <v>16</v>
      </c>
      <c r="B46" s="367"/>
      <c r="C46" s="368"/>
      <c r="D46" s="369"/>
      <c r="E46" s="370"/>
      <c r="F46" s="269">
        <f t="shared" si="1"/>
        <v>0</v>
      </c>
      <c r="G46" s="224">
        <f t="shared" si="2"/>
        <v>0</v>
      </c>
      <c r="H46" s="845"/>
      <c r="I46" s="846"/>
      <c r="J46" s="212" t="str">
        <f>IF(X46="◎",COUNTIF($X$31:X46,"◎"),"")</f>
        <v/>
      </c>
      <c r="V46" s="133" t="s">
        <v>72</v>
      </c>
      <c r="W46" s="143">
        <v>16</v>
      </c>
      <c r="X46" s="210" t="str">
        <f t="shared" si="3"/>
        <v>○</v>
      </c>
      <c r="Y46" s="137" t="str">
        <f t="shared" si="4"/>
        <v>申請しない場合は入力不要です。</v>
      </c>
      <c r="Z46" s="238"/>
      <c r="AA46" s="140"/>
      <c r="AB46" s="140"/>
      <c r="AC46" s="264" t="str">
        <f t="shared" si="5"/>
        <v/>
      </c>
      <c r="AD46" s="144"/>
    </row>
    <row r="47" spans="1:48" ht="24.95" customHeight="1" x14ac:dyDescent="0.4">
      <c r="A47" s="62">
        <v>17</v>
      </c>
      <c r="B47" s="367"/>
      <c r="C47" s="368"/>
      <c r="D47" s="369"/>
      <c r="E47" s="370"/>
      <c r="F47" s="269">
        <f t="shared" si="1"/>
        <v>0</v>
      </c>
      <c r="G47" s="224">
        <f t="shared" si="2"/>
        <v>0</v>
      </c>
      <c r="H47" s="845"/>
      <c r="I47" s="846"/>
      <c r="J47" s="212" t="str">
        <f>IF(X47="◎",COUNTIF($X$31:X47,"◎"),"")</f>
        <v/>
      </c>
      <c r="V47" s="133" t="s">
        <v>72</v>
      </c>
      <c r="W47" s="143">
        <v>17</v>
      </c>
      <c r="X47" s="210" t="str">
        <f t="shared" si="3"/>
        <v>○</v>
      </c>
      <c r="Y47" s="137" t="str">
        <f t="shared" si="4"/>
        <v>申請しない場合は入力不要です。</v>
      </c>
      <c r="Z47" s="238"/>
      <c r="AA47" s="140"/>
      <c r="AB47" s="140"/>
      <c r="AC47" s="264" t="str">
        <f t="shared" si="5"/>
        <v/>
      </c>
      <c r="AD47" s="144"/>
    </row>
    <row r="48" spans="1:48" ht="24.95" customHeight="1" x14ac:dyDescent="0.4">
      <c r="A48" s="62">
        <v>18</v>
      </c>
      <c r="B48" s="367"/>
      <c r="C48" s="368"/>
      <c r="D48" s="369"/>
      <c r="E48" s="370"/>
      <c r="F48" s="269">
        <f t="shared" si="1"/>
        <v>0</v>
      </c>
      <c r="G48" s="224">
        <f t="shared" si="2"/>
        <v>0</v>
      </c>
      <c r="H48" s="845"/>
      <c r="I48" s="846"/>
      <c r="J48" s="212" t="str">
        <f>IF(X48="◎",COUNTIF($X$31:X48,"◎"),"")</f>
        <v/>
      </c>
      <c r="V48" s="133" t="s">
        <v>72</v>
      </c>
      <c r="W48" s="143">
        <v>18</v>
      </c>
      <c r="X48" s="210" t="str">
        <f t="shared" si="3"/>
        <v>○</v>
      </c>
      <c r="Y48" s="137" t="str">
        <f t="shared" si="4"/>
        <v>申請しない場合は入力不要です。</v>
      </c>
      <c r="Z48" s="238"/>
      <c r="AA48" s="140"/>
      <c r="AB48" s="140"/>
      <c r="AC48" s="264" t="str">
        <f t="shared" si="5"/>
        <v/>
      </c>
      <c r="AD48" s="144"/>
    </row>
    <row r="49" spans="1:30" ht="24.95" customHeight="1" x14ac:dyDescent="0.4">
      <c r="A49" s="62">
        <v>19</v>
      </c>
      <c r="B49" s="367"/>
      <c r="C49" s="368"/>
      <c r="D49" s="369"/>
      <c r="E49" s="370"/>
      <c r="F49" s="269">
        <f t="shared" si="1"/>
        <v>0</v>
      </c>
      <c r="G49" s="224">
        <f t="shared" si="2"/>
        <v>0</v>
      </c>
      <c r="H49" s="845"/>
      <c r="I49" s="846"/>
      <c r="J49" s="212" t="str">
        <f>IF(X49="◎",COUNTIF($X$31:X49,"◎"),"")</f>
        <v/>
      </c>
      <c r="V49" s="133" t="s">
        <v>72</v>
      </c>
      <c r="W49" s="143">
        <v>19</v>
      </c>
      <c r="X49" s="210" t="str">
        <f t="shared" si="3"/>
        <v>○</v>
      </c>
      <c r="Y49" s="137" t="str">
        <f t="shared" si="4"/>
        <v>申請しない場合は入力不要です。</v>
      </c>
      <c r="Z49" s="238"/>
      <c r="AA49" s="140"/>
      <c r="AB49" s="140"/>
      <c r="AC49" s="264" t="str">
        <f t="shared" si="5"/>
        <v/>
      </c>
      <c r="AD49" s="144"/>
    </row>
    <row r="50" spans="1:30" ht="24.95" customHeight="1" x14ac:dyDescent="0.4">
      <c r="A50" s="62">
        <v>20</v>
      </c>
      <c r="B50" s="367"/>
      <c r="C50" s="368"/>
      <c r="D50" s="369"/>
      <c r="E50" s="370"/>
      <c r="F50" s="269">
        <f t="shared" si="1"/>
        <v>0</v>
      </c>
      <c r="G50" s="224">
        <f t="shared" si="2"/>
        <v>0</v>
      </c>
      <c r="H50" s="845"/>
      <c r="I50" s="846"/>
      <c r="J50" s="212" t="str">
        <f>IF(X50="◎",COUNTIF($X$31:X50,"◎"),"")</f>
        <v/>
      </c>
      <c r="V50" s="133" t="s">
        <v>72</v>
      </c>
      <c r="W50" s="143">
        <v>20</v>
      </c>
      <c r="X50" s="210" t="str">
        <f t="shared" si="3"/>
        <v>○</v>
      </c>
      <c r="Y50" s="137" t="str">
        <f t="shared" si="4"/>
        <v>申請しない場合は入力不要です。</v>
      </c>
      <c r="Z50" s="238"/>
      <c r="AA50" s="140"/>
      <c r="AB50" s="140"/>
      <c r="AC50" s="264" t="str">
        <f t="shared" si="5"/>
        <v/>
      </c>
      <c r="AD50" s="144"/>
    </row>
    <row r="51" spans="1:30" ht="24.95" customHeight="1" x14ac:dyDescent="0.4">
      <c r="A51" s="62">
        <v>21</v>
      </c>
      <c r="B51" s="367"/>
      <c r="C51" s="368"/>
      <c r="D51" s="369"/>
      <c r="E51" s="370"/>
      <c r="F51" s="269">
        <f t="shared" si="1"/>
        <v>0</v>
      </c>
      <c r="G51" s="224">
        <f t="shared" si="2"/>
        <v>0</v>
      </c>
      <c r="H51" s="845"/>
      <c r="I51" s="846"/>
      <c r="J51" s="212" t="str">
        <f>IF(X51="◎",COUNTIF($X$31:X51,"◎"),"")</f>
        <v/>
      </c>
      <c r="V51" s="133" t="s">
        <v>72</v>
      </c>
      <c r="W51" s="143">
        <v>21</v>
      </c>
      <c r="X51" s="210" t="str">
        <f t="shared" si="3"/>
        <v>○</v>
      </c>
      <c r="Y51" s="137" t="str">
        <f t="shared" si="4"/>
        <v>申請しない場合は入力不要です。</v>
      </c>
      <c r="Z51" s="238"/>
      <c r="AA51" s="140"/>
      <c r="AB51" s="140"/>
      <c r="AC51" s="264" t="str">
        <f t="shared" si="5"/>
        <v/>
      </c>
      <c r="AD51" s="144"/>
    </row>
    <row r="52" spans="1:30" ht="24.95" customHeight="1" x14ac:dyDescent="0.4">
      <c r="A52" s="62">
        <v>22</v>
      </c>
      <c r="B52" s="367"/>
      <c r="C52" s="368"/>
      <c r="D52" s="369"/>
      <c r="E52" s="370"/>
      <c r="F52" s="269">
        <f t="shared" si="1"/>
        <v>0</v>
      </c>
      <c r="G52" s="224">
        <f t="shared" si="2"/>
        <v>0</v>
      </c>
      <c r="H52" s="845"/>
      <c r="I52" s="846"/>
      <c r="J52" s="212" t="str">
        <f>IF(X52="◎",COUNTIF($X$31:X52,"◎"),"")</f>
        <v/>
      </c>
      <c r="V52" s="133" t="s">
        <v>72</v>
      </c>
      <c r="W52" s="143">
        <v>22</v>
      </c>
      <c r="X52" s="210" t="str">
        <f t="shared" si="3"/>
        <v>○</v>
      </c>
      <c r="Y52" s="137" t="str">
        <f t="shared" si="4"/>
        <v>申請しない場合は入力不要です。</v>
      </c>
      <c r="Z52" s="238"/>
      <c r="AA52" s="140"/>
      <c r="AB52" s="140"/>
      <c r="AC52" s="264" t="str">
        <f t="shared" si="5"/>
        <v/>
      </c>
      <c r="AD52" s="144"/>
    </row>
    <row r="53" spans="1:30" ht="24.95" customHeight="1" x14ac:dyDescent="0.4">
      <c r="A53" s="62">
        <v>23</v>
      </c>
      <c r="B53" s="367"/>
      <c r="C53" s="368"/>
      <c r="D53" s="369"/>
      <c r="E53" s="370"/>
      <c r="F53" s="269">
        <f t="shared" si="1"/>
        <v>0</v>
      </c>
      <c r="G53" s="224">
        <f t="shared" si="2"/>
        <v>0</v>
      </c>
      <c r="H53" s="845"/>
      <c r="I53" s="846"/>
      <c r="J53" s="212" t="str">
        <f>IF(X53="◎",COUNTIF($X$31:X53,"◎"),"")</f>
        <v/>
      </c>
      <c r="V53" s="133" t="s">
        <v>72</v>
      </c>
      <c r="W53" s="143">
        <v>23</v>
      </c>
      <c r="X53" s="210" t="str">
        <f t="shared" si="3"/>
        <v>○</v>
      </c>
      <c r="Y53" s="137" t="str">
        <f t="shared" si="4"/>
        <v>申請しない場合は入力不要です。</v>
      </c>
      <c r="Z53" s="238"/>
      <c r="AA53" s="140"/>
      <c r="AB53" s="140"/>
      <c r="AC53" s="264" t="str">
        <f t="shared" si="5"/>
        <v/>
      </c>
      <c r="AD53" s="144"/>
    </row>
    <row r="54" spans="1:30" ht="24.95" customHeight="1" x14ac:dyDescent="0.4">
      <c r="A54" s="62">
        <v>24</v>
      </c>
      <c r="B54" s="367"/>
      <c r="C54" s="368"/>
      <c r="D54" s="369"/>
      <c r="E54" s="370"/>
      <c r="F54" s="269">
        <f t="shared" si="1"/>
        <v>0</v>
      </c>
      <c r="G54" s="224">
        <f t="shared" si="2"/>
        <v>0</v>
      </c>
      <c r="H54" s="845"/>
      <c r="I54" s="846"/>
      <c r="J54" s="212" t="str">
        <f>IF(X54="◎",COUNTIF($X$31:X54,"◎"),"")</f>
        <v/>
      </c>
      <c r="V54" s="133" t="s">
        <v>72</v>
      </c>
      <c r="W54" s="143">
        <v>24</v>
      </c>
      <c r="X54" s="210" t="str">
        <f t="shared" si="3"/>
        <v>○</v>
      </c>
      <c r="Y54" s="137" t="str">
        <f t="shared" si="4"/>
        <v>申請しない場合は入力不要です。</v>
      </c>
      <c r="Z54" s="238"/>
      <c r="AA54" s="140"/>
      <c r="AB54" s="140"/>
      <c r="AC54" s="264" t="str">
        <f t="shared" si="5"/>
        <v/>
      </c>
      <c r="AD54" s="144"/>
    </row>
    <row r="55" spans="1:30" ht="24.95" customHeight="1" x14ac:dyDescent="0.4">
      <c r="A55" s="62">
        <v>25</v>
      </c>
      <c r="B55" s="367"/>
      <c r="C55" s="368"/>
      <c r="D55" s="369"/>
      <c r="E55" s="370"/>
      <c r="F55" s="269">
        <f t="shared" si="1"/>
        <v>0</v>
      </c>
      <c r="G55" s="224">
        <f t="shared" si="2"/>
        <v>0</v>
      </c>
      <c r="H55" s="845"/>
      <c r="I55" s="846"/>
      <c r="J55" s="212" t="str">
        <f>IF(X55="◎",COUNTIF($X$31:X55,"◎"),"")</f>
        <v/>
      </c>
      <c r="V55" s="133" t="s">
        <v>72</v>
      </c>
      <c r="W55" s="143">
        <v>25</v>
      </c>
      <c r="X55" s="210" t="str">
        <f t="shared" si="3"/>
        <v>○</v>
      </c>
      <c r="Y55" s="137" t="str">
        <f t="shared" si="4"/>
        <v>申請しない場合は入力不要です。</v>
      </c>
      <c r="Z55" s="238"/>
      <c r="AA55" s="140"/>
      <c r="AB55" s="140"/>
      <c r="AC55" s="264" t="str">
        <f t="shared" si="5"/>
        <v/>
      </c>
      <c r="AD55" s="144"/>
    </row>
    <row r="56" spans="1:30" ht="24.95" customHeight="1" x14ac:dyDescent="0.4">
      <c r="A56" s="62">
        <v>26</v>
      </c>
      <c r="B56" s="367"/>
      <c r="C56" s="368"/>
      <c r="D56" s="369"/>
      <c r="E56" s="370"/>
      <c r="F56" s="269">
        <f t="shared" si="1"/>
        <v>0</v>
      </c>
      <c r="G56" s="224">
        <f t="shared" si="2"/>
        <v>0</v>
      </c>
      <c r="H56" s="845"/>
      <c r="I56" s="846"/>
      <c r="J56" s="212" t="str">
        <f>IF(X56="◎",COUNTIF($X$31:X56,"◎"),"")</f>
        <v/>
      </c>
      <c r="V56" s="133" t="s">
        <v>72</v>
      </c>
      <c r="W56" s="143">
        <v>26</v>
      </c>
      <c r="X56" s="210" t="str">
        <f t="shared" si="3"/>
        <v>○</v>
      </c>
      <c r="Y56" s="137" t="str">
        <f t="shared" si="4"/>
        <v>申請しない場合は入力不要です。</v>
      </c>
      <c r="Z56" s="238"/>
      <c r="AA56" s="140"/>
      <c r="AB56" s="140"/>
      <c r="AC56" s="264" t="str">
        <f t="shared" si="5"/>
        <v/>
      </c>
      <c r="AD56" s="144"/>
    </row>
    <row r="57" spans="1:30" ht="24.95" customHeight="1" x14ac:dyDescent="0.4">
      <c r="A57" s="62">
        <v>27</v>
      </c>
      <c r="B57" s="367"/>
      <c r="C57" s="368"/>
      <c r="D57" s="369"/>
      <c r="E57" s="370"/>
      <c r="F57" s="269">
        <f t="shared" si="1"/>
        <v>0</v>
      </c>
      <c r="G57" s="224">
        <f t="shared" si="2"/>
        <v>0</v>
      </c>
      <c r="H57" s="845"/>
      <c r="I57" s="846"/>
      <c r="J57" s="212" t="str">
        <f>IF(X57="◎",COUNTIF($X$31:X57,"◎"),"")</f>
        <v/>
      </c>
      <c r="V57" s="133" t="s">
        <v>72</v>
      </c>
      <c r="W57" s="143">
        <v>27</v>
      </c>
      <c r="X57" s="210" t="str">
        <f t="shared" si="3"/>
        <v>○</v>
      </c>
      <c r="Y57" s="137" t="str">
        <f t="shared" si="4"/>
        <v>申請しない場合は入力不要です。</v>
      </c>
      <c r="Z57" s="238"/>
      <c r="AA57" s="140"/>
      <c r="AB57" s="140"/>
      <c r="AC57" s="264" t="str">
        <f t="shared" si="5"/>
        <v/>
      </c>
      <c r="AD57" s="144"/>
    </row>
    <row r="58" spans="1:30" ht="24.95" customHeight="1" x14ac:dyDescent="0.4">
      <c r="A58" s="62">
        <v>28</v>
      </c>
      <c r="B58" s="367"/>
      <c r="C58" s="368"/>
      <c r="D58" s="369"/>
      <c r="E58" s="370"/>
      <c r="F58" s="269">
        <f t="shared" si="1"/>
        <v>0</v>
      </c>
      <c r="G58" s="224">
        <f t="shared" si="2"/>
        <v>0</v>
      </c>
      <c r="H58" s="845"/>
      <c r="I58" s="846"/>
      <c r="J58" s="212" t="str">
        <f>IF(X58="◎",COUNTIF($X$31:X58,"◎"),"")</f>
        <v/>
      </c>
      <c r="V58" s="133" t="s">
        <v>72</v>
      </c>
      <c r="W58" s="143">
        <v>28</v>
      </c>
      <c r="X58" s="210" t="str">
        <f t="shared" si="3"/>
        <v>○</v>
      </c>
      <c r="Y58" s="137" t="str">
        <f t="shared" si="4"/>
        <v>申請しない場合は入力不要です。</v>
      </c>
      <c r="Z58" s="238"/>
      <c r="AA58" s="140"/>
      <c r="AB58" s="140"/>
      <c r="AC58" s="264" t="str">
        <f t="shared" si="5"/>
        <v/>
      </c>
      <c r="AD58" s="144"/>
    </row>
    <row r="59" spans="1:30" ht="24.95" customHeight="1" x14ac:dyDescent="0.4">
      <c r="A59" s="62">
        <v>29</v>
      </c>
      <c r="B59" s="367"/>
      <c r="C59" s="368"/>
      <c r="D59" s="369"/>
      <c r="E59" s="370"/>
      <c r="F59" s="269">
        <f t="shared" si="1"/>
        <v>0</v>
      </c>
      <c r="G59" s="224">
        <f t="shared" si="2"/>
        <v>0</v>
      </c>
      <c r="H59" s="845"/>
      <c r="I59" s="846"/>
      <c r="J59" s="212" t="str">
        <f>IF(X59="◎",COUNTIF($X$31:X59,"◎"),"")</f>
        <v/>
      </c>
      <c r="V59" s="133" t="s">
        <v>72</v>
      </c>
      <c r="W59" s="143">
        <v>29</v>
      </c>
      <c r="X59" s="210" t="str">
        <f t="shared" si="3"/>
        <v>○</v>
      </c>
      <c r="Y59" s="137" t="str">
        <f t="shared" si="4"/>
        <v>申請しない場合は入力不要です。</v>
      </c>
      <c r="Z59" s="238"/>
      <c r="AA59" s="140"/>
      <c r="AB59" s="140"/>
      <c r="AC59" s="264" t="str">
        <f t="shared" si="5"/>
        <v/>
      </c>
      <c r="AD59" s="144"/>
    </row>
    <row r="60" spans="1:30" ht="24.95" customHeight="1" x14ac:dyDescent="0.4">
      <c r="A60" s="62">
        <v>30</v>
      </c>
      <c r="B60" s="367"/>
      <c r="C60" s="368"/>
      <c r="D60" s="369"/>
      <c r="E60" s="370"/>
      <c r="F60" s="269">
        <f t="shared" si="1"/>
        <v>0</v>
      </c>
      <c r="G60" s="224">
        <f t="shared" si="2"/>
        <v>0</v>
      </c>
      <c r="H60" s="845"/>
      <c r="I60" s="846"/>
      <c r="J60" s="212" t="str">
        <f>IF(X60="◎",COUNTIF($X$31:X60,"◎"),"")</f>
        <v/>
      </c>
      <c r="V60" s="133" t="s">
        <v>72</v>
      </c>
      <c r="W60" s="143">
        <v>30</v>
      </c>
      <c r="X60" s="210" t="str">
        <f t="shared" si="3"/>
        <v>○</v>
      </c>
      <c r="Y60" s="137" t="str">
        <f t="shared" si="4"/>
        <v>申請しない場合は入力不要です。</v>
      </c>
      <c r="Z60" s="238"/>
      <c r="AA60" s="140"/>
      <c r="AB60" s="140"/>
      <c r="AC60" s="264" t="str">
        <f t="shared" si="5"/>
        <v/>
      </c>
      <c r="AD60" s="144"/>
    </row>
    <row r="61" spans="1:30" ht="24.95" customHeight="1" x14ac:dyDescent="0.4">
      <c r="A61" s="62">
        <v>31</v>
      </c>
      <c r="B61" s="367"/>
      <c r="C61" s="368"/>
      <c r="D61" s="369"/>
      <c r="E61" s="370"/>
      <c r="F61" s="269">
        <f t="shared" si="1"/>
        <v>0</v>
      </c>
      <c r="G61" s="224">
        <f t="shared" ref="G61:G70" si="6">ROUNDDOWN(D61*F61,0)</f>
        <v>0</v>
      </c>
      <c r="H61" s="845"/>
      <c r="I61" s="846"/>
      <c r="J61" s="212" t="str">
        <f>IF(X61="◎",COUNTIF($X$31:X61,"◎"),"")</f>
        <v/>
      </c>
      <c r="V61" s="133" t="s">
        <v>72</v>
      </c>
      <c r="W61" s="143">
        <v>31</v>
      </c>
      <c r="X61" s="210" t="str">
        <f t="shared" ref="X61:X70" si="7" xml:space="preserve">
IF(SUM(COUNTA(B61:E61),COUNTA(H61))=0,"○",
IF(AND(SUM(COUNTA(B61:E61),COUNTA(H61))&gt;=1,SUM(COUNTA(B61:E61),COUNTA(H61))&lt;5),"×",
IF(SUM(COUNTA(B61:E61),COUNTA(H61))=5,"◎")))</f>
        <v>○</v>
      </c>
      <c r="Y61" s="137" t="str">
        <f t="shared" ref="Y61:Y70" si="8" xml:space="preserve">
IF(SUM(COUNTA(B61:E61),COUNTA(H61))=0,"申請しない場合は入力不要です。",
IF(AND(SUM(COUNTA(B61:E61),COUNTA(H61))&gt;=1,SUM(COUNTA(B61:E61),COUNTA(H61))&lt;5),"【要修正】入力が不十分な箇所があります。",
IF(SUM(COUNTA(B61:E61),COUNTA(H61))=5,"適切に入力がされました。")))</f>
        <v>申請しない場合は入力不要です。</v>
      </c>
      <c r="AC61" s="264" t="str">
        <f t="shared" si="5"/>
        <v/>
      </c>
    </row>
    <row r="62" spans="1:30" ht="24.95" customHeight="1" x14ac:dyDescent="0.4">
      <c r="A62" s="62">
        <v>32</v>
      </c>
      <c r="B62" s="367"/>
      <c r="C62" s="368"/>
      <c r="D62" s="369"/>
      <c r="E62" s="370"/>
      <c r="F62" s="269">
        <f t="shared" si="1"/>
        <v>0</v>
      </c>
      <c r="G62" s="224">
        <f t="shared" si="6"/>
        <v>0</v>
      </c>
      <c r="H62" s="845"/>
      <c r="I62" s="846"/>
      <c r="J62" s="212" t="str">
        <f>IF(X62="◎",COUNTIF($X$31:X62,"◎"),"")</f>
        <v/>
      </c>
      <c r="V62" s="133" t="s">
        <v>72</v>
      </c>
      <c r="W62" s="143">
        <v>32</v>
      </c>
      <c r="X62" s="210" t="str">
        <f t="shared" si="7"/>
        <v>○</v>
      </c>
      <c r="Y62" s="137" t="str">
        <f t="shared" si="8"/>
        <v>申請しない場合は入力不要です。</v>
      </c>
      <c r="AC62" s="264" t="str">
        <f t="shared" si="5"/>
        <v/>
      </c>
    </row>
    <row r="63" spans="1:30" ht="24.95" customHeight="1" x14ac:dyDescent="0.4">
      <c r="A63" s="62">
        <v>33</v>
      </c>
      <c r="B63" s="367"/>
      <c r="C63" s="368"/>
      <c r="D63" s="369"/>
      <c r="E63" s="370"/>
      <c r="F63" s="269">
        <f t="shared" si="1"/>
        <v>0</v>
      </c>
      <c r="G63" s="224">
        <f t="shared" si="6"/>
        <v>0</v>
      </c>
      <c r="H63" s="845"/>
      <c r="I63" s="846"/>
      <c r="J63" s="212" t="str">
        <f>IF(X63="◎",COUNTIF($X$31:X63,"◎"),"")</f>
        <v/>
      </c>
      <c r="V63" s="133" t="s">
        <v>72</v>
      </c>
      <c r="W63" s="143">
        <v>33</v>
      </c>
      <c r="X63" s="210" t="str">
        <f t="shared" si="7"/>
        <v>○</v>
      </c>
      <c r="Y63" s="137" t="str">
        <f t="shared" si="8"/>
        <v>申請しない場合は入力不要です。</v>
      </c>
      <c r="AC63" s="264" t="str">
        <f t="shared" si="5"/>
        <v/>
      </c>
    </row>
    <row r="64" spans="1:30" ht="24.95" customHeight="1" x14ac:dyDescent="0.4">
      <c r="A64" s="62">
        <v>34</v>
      </c>
      <c r="B64" s="367"/>
      <c r="C64" s="368"/>
      <c r="D64" s="369"/>
      <c r="E64" s="370"/>
      <c r="F64" s="269">
        <f t="shared" si="1"/>
        <v>0</v>
      </c>
      <c r="G64" s="224">
        <f t="shared" si="6"/>
        <v>0</v>
      </c>
      <c r="H64" s="845"/>
      <c r="I64" s="846"/>
      <c r="J64" s="212" t="str">
        <f>IF(X64="◎",COUNTIF($X$31:X64,"◎"),"")</f>
        <v/>
      </c>
      <c r="V64" s="133" t="s">
        <v>72</v>
      </c>
      <c r="W64" s="143">
        <v>34</v>
      </c>
      <c r="X64" s="210" t="str">
        <f t="shared" si="7"/>
        <v>○</v>
      </c>
      <c r="Y64" s="137" t="str">
        <f t="shared" si="8"/>
        <v>申請しない場合は入力不要です。</v>
      </c>
      <c r="AC64" s="264" t="str">
        <f t="shared" si="5"/>
        <v/>
      </c>
    </row>
    <row r="65" spans="1:42" ht="24.95" customHeight="1" x14ac:dyDescent="0.4">
      <c r="A65" s="62">
        <v>35</v>
      </c>
      <c r="B65" s="367"/>
      <c r="C65" s="368"/>
      <c r="D65" s="369"/>
      <c r="E65" s="370"/>
      <c r="F65" s="269">
        <f t="shared" si="1"/>
        <v>0</v>
      </c>
      <c r="G65" s="224">
        <f t="shared" si="6"/>
        <v>0</v>
      </c>
      <c r="H65" s="845"/>
      <c r="I65" s="846"/>
      <c r="J65" s="212" t="str">
        <f>IF(X65="◎",COUNTIF($X$31:X65,"◎"),"")</f>
        <v/>
      </c>
      <c r="V65" s="133" t="s">
        <v>72</v>
      </c>
      <c r="W65" s="143">
        <v>35</v>
      </c>
      <c r="X65" s="210" t="str">
        <f t="shared" si="7"/>
        <v>○</v>
      </c>
      <c r="Y65" s="137" t="str">
        <f t="shared" si="8"/>
        <v>申請しない場合は入力不要です。</v>
      </c>
      <c r="AC65" s="264" t="str">
        <f t="shared" si="5"/>
        <v/>
      </c>
    </row>
    <row r="66" spans="1:42" ht="24.95" customHeight="1" x14ac:dyDescent="0.4">
      <c r="A66" s="62">
        <v>36</v>
      </c>
      <c r="B66" s="367"/>
      <c r="C66" s="368"/>
      <c r="D66" s="369"/>
      <c r="E66" s="370"/>
      <c r="F66" s="269">
        <f t="shared" si="1"/>
        <v>0</v>
      </c>
      <c r="G66" s="224">
        <f t="shared" si="6"/>
        <v>0</v>
      </c>
      <c r="H66" s="845"/>
      <c r="I66" s="846"/>
      <c r="J66" s="212" t="str">
        <f>IF(X66="◎",COUNTIF($X$31:X66,"◎"),"")</f>
        <v/>
      </c>
      <c r="V66" s="133" t="s">
        <v>72</v>
      </c>
      <c r="W66" s="143">
        <v>36</v>
      </c>
      <c r="X66" s="210" t="str">
        <f t="shared" si="7"/>
        <v>○</v>
      </c>
      <c r="Y66" s="137" t="str">
        <f t="shared" si="8"/>
        <v>申請しない場合は入力不要です。</v>
      </c>
      <c r="AC66" s="264" t="str">
        <f t="shared" si="5"/>
        <v/>
      </c>
    </row>
    <row r="67" spans="1:42" ht="24.95" customHeight="1" x14ac:dyDescent="0.4">
      <c r="A67" s="62">
        <v>37</v>
      </c>
      <c r="B67" s="367"/>
      <c r="C67" s="368"/>
      <c r="D67" s="369"/>
      <c r="E67" s="370"/>
      <c r="F67" s="269">
        <f t="shared" si="1"/>
        <v>0</v>
      </c>
      <c r="G67" s="224">
        <f t="shared" si="6"/>
        <v>0</v>
      </c>
      <c r="H67" s="845"/>
      <c r="I67" s="846"/>
      <c r="J67" s="212" t="str">
        <f>IF(X67="◎",COUNTIF($X$31:X67,"◎"),"")</f>
        <v/>
      </c>
      <c r="V67" s="133" t="s">
        <v>72</v>
      </c>
      <c r="W67" s="143">
        <v>37</v>
      </c>
      <c r="X67" s="210" t="str">
        <f t="shared" si="7"/>
        <v>○</v>
      </c>
      <c r="Y67" s="137" t="str">
        <f t="shared" si="8"/>
        <v>申請しない場合は入力不要です。</v>
      </c>
      <c r="AC67" s="264" t="str">
        <f t="shared" si="5"/>
        <v/>
      </c>
    </row>
    <row r="68" spans="1:42" ht="24.95" customHeight="1" x14ac:dyDescent="0.4">
      <c r="A68" s="62">
        <v>38</v>
      </c>
      <c r="B68" s="367"/>
      <c r="C68" s="368"/>
      <c r="D68" s="369"/>
      <c r="E68" s="370"/>
      <c r="F68" s="269">
        <f t="shared" si="1"/>
        <v>0</v>
      </c>
      <c r="G68" s="224">
        <f t="shared" si="6"/>
        <v>0</v>
      </c>
      <c r="H68" s="845"/>
      <c r="I68" s="846"/>
      <c r="J68" s="212" t="str">
        <f>IF(X68="◎",COUNTIF($X$31:X68,"◎"),"")</f>
        <v/>
      </c>
      <c r="V68" s="133" t="s">
        <v>72</v>
      </c>
      <c r="W68" s="143">
        <v>38</v>
      </c>
      <c r="X68" s="210" t="str">
        <f t="shared" si="7"/>
        <v>○</v>
      </c>
      <c r="Y68" s="137" t="str">
        <f t="shared" si="8"/>
        <v>申請しない場合は入力不要です。</v>
      </c>
      <c r="AC68" s="264" t="str">
        <f t="shared" si="5"/>
        <v/>
      </c>
    </row>
    <row r="69" spans="1:42" ht="24.95" customHeight="1" x14ac:dyDescent="0.4">
      <c r="A69" s="62">
        <v>39</v>
      </c>
      <c r="B69" s="367"/>
      <c r="C69" s="368"/>
      <c r="D69" s="369"/>
      <c r="E69" s="370"/>
      <c r="F69" s="269">
        <f t="shared" si="1"/>
        <v>0</v>
      </c>
      <c r="G69" s="224">
        <f t="shared" si="6"/>
        <v>0</v>
      </c>
      <c r="H69" s="845"/>
      <c r="I69" s="846"/>
      <c r="J69" s="212" t="str">
        <f>IF(X69="◎",COUNTIF($X$31:X69,"◎"),"")</f>
        <v/>
      </c>
      <c r="V69" s="133" t="s">
        <v>72</v>
      </c>
      <c r="W69" s="143">
        <v>39</v>
      </c>
      <c r="X69" s="210" t="str">
        <f t="shared" si="7"/>
        <v>○</v>
      </c>
      <c r="Y69" s="137" t="str">
        <f t="shared" si="8"/>
        <v>申請しない場合は入力不要です。</v>
      </c>
      <c r="AC69" s="264" t="str">
        <f t="shared" si="5"/>
        <v/>
      </c>
    </row>
    <row r="70" spans="1:42" ht="24.95" customHeight="1" x14ac:dyDescent="0.4">
      <c r="A70" s="62">
        <v>40</v>
      </c>
      <c r="B70" s="367"/>
      <c r="C70" s="368"/>
      <c r="D70" s="369"/>
      <c r="E70" s="370"/>
      <c r="F70" s="269">
        <f t="shared" si="1"/>
        <v>0</v>
      </c>
      <c r="G70" s="224">
        <f t="shared" si="6"/>
        <v>0</v>
      </c>
      <c r="H70" s="845"/>
      <c r="I70" s="846"/>
      <c r="J70" s="212" t="str">
        <f>IF(X70="◎",COUNTIF($X$31:X70,"◎"),"")</f>
        <v/>
      </c>
      <c r="V70" s="133" t="s">
        <v>72</v>
      </c>
      <c r="W70" s="143">
        <v>40</v>
      </c>
      <c r="X70" s="210" t="str">
        <f t="shared" si="7"/>
        <v>○</v>
      </c>
      <c r="Y70" s="137" t="str">
        <f t="shared" si="8"/>
        <v>申請しない場合は入力不要です。</v>
      </c>
      <c r="AC70" s="264" t="str">
        <f t="shared" si="5"/>
        <v/>
      </c>
    </row>
    <row r="73" spans="1:42" ht="20.100000000000001" customHeight="1" x14ac:dyDescent="0.4">
      <c r="V73" s="142" t="s">
        <v>169</v>
      </c>
    </row>
    <row r="74" spans="1:42" ht="20.100000000000001" customHeight="1" x14ac:dyDescent="0.4">
      <c r="V74" s="142" t="s">
        <v>170</v>
      </c>
    </row>
    <row r="75" spans="1:42" ht="20.100000000000001" customHeight="1" x14ac:dyDescent="0.4">
      <c r="V75" s="142" t="s">
        <v>171</v>
      </c>
    </row>
    <row r="78" spans="1:42" ht="19.5" customHeight="1" x14ac:dyDescent="0.4">
      <c r="AE78" s="857" t="s">
        <v>110</v>
      </c>
      <c r="AF78" s="821"/>
      <c r="AG78" s="821"/>
      <c r="AH78" s="10" t="s">
        <v>108</v>
      </c>
      <c r="AI78" s="10" t="s">
        <v>112</v>
      </c>
      <c r="AJ78" s="850" t="s">
        <v>111</v>
      </c>
      <c r="AK78" s="851"/>
      <c r="AL78" s="851"/>
      <c r="AM78" s="851"/>
      <c r="AN78" s="851"/>
      <c r="AO78" s="851"/>
      <c r="AP78" s="852"/>
    </row>
    <row r="79" spans="1:42" ht="20.100000000000001" customHeight="1" x14ac:dyDescent="0.4">
      <c r="AE79" s="820" t="s">
        <v>168</v>
      </c>
      <c r="AF79" s="821"/>
      <c r="AG79" s="821"/>
      <c r="AH79" s="10" t="str">
        <f>IF(AND(X9="×",X10="×"),"×",
IF(AND(X9="×",X10="○"),"×",
IF(AND(X9="×",X10="◎"),"×",
IF(AND(X9="○",X10="×"),"×",
IF(AND(X9="○",X10="○"),"○",
IF(AND(X9="○",X10="◎"),"×",
IF(AND(X9="◎",X10="×"),"×",
IF(AND(X9="◎",X10="○"),"×",
IF(AND(X9="◎",X10="◎"),"◎",
)))))))))</f>
        <v>○</v>
      </c>
      <c r="AI79" s="826" t="str">
        <f xml:space="preserve">
IF(AND(AH79="×",AH80="×",AH81="×"),"×",
IF(AND(AH79="×",AH80="×",AH81="○"),"×",
IF(AND(AH79="×",AH80="×",AH81="◎"),"×",
IF(AND(AH79="×",AH80="○",AH81="×"),"×",
IF(AND(AH79="×",AH80="○",AH81="○"),"×",
IF(AND(AH79="×",AH80="○",AH81="◎"),"×",
IF(AND(AH79="×",AH80="◎",AH81="×"),"×",
IF(AND(AH79="×",AH80="◎",AH81="○"),"×",
IF(AND(AH79="×",AH80="◎",AH81="◎"),"×",
IF(AND(AH79="○",AH80="×",AH81="×"),"×",
IF(AND(AH79="○",AH80="×",AH81="○"),"×",
IF(AND(AH79="○",AH80="×",AH81="◎"),"×",
IF(AND(AH79="○",AH80="○",AH81="×"),"×",
IF(AND(AH79="○",AH80="○",AH81="○"),"○",
IF(AND(AH79="○",AH80="○",AH81="◎"),"×",
IF(AND(AH79="○",AH80="◎",AH81="×"),"×",
IF(AND(AH79="○",AH80="◎",AH81="○"),"×",
IF(AND(AH79="○",AH80="◎",AH81="◎"),"×",
IF(AND(AH79="○",AH80="×",AH81="×"),"×",
IF(AND(AH79="○",AH80="×",AH81="○"),"×",
IF(AND(AH79="○",AH80="×",AH81="◎"),"×",
IF(AND(AH79="◎",AH80="○",AH81="×"),"×",
IF(AND(AH79="◎",AH80="○",AH81="○"),"×",
IF(AND(AH79="◎",AH80="○",AH81="◎"),"×",
IF(AND(AH79="◎",AH80="◎",AH81="×"),"×",
IF(AND(AH79="◎",AH80="◎",AH81="○"),"×",
IF(AND(AH79="◎",AH80="◎",AH81="◎"),"◎")))))))))))))))))))))))))))</f>
        <v>○</v>
      </c>
      <c r="AJ79" s="822" t="str">
        <f xml:space="preserve">
IF(AND(AH79="×",AH80="×",AH81="×"),"【要修正】以下を確認してください。"&amp;CHAR(10)&amp;"→以下を確認してください。"&amp;CHAR(10)&amp;"→「１．はじめに」：入力不十分、「２．整備方法」：入力不十分、「３．簡易診療室情報」：入力不十分",
IF(AND(AH79="×",AH80="×",AH81="○"),"【要修正】以下を確認してください。"&amp;CHAR(10)&amp;"→「１．はじめに」：入力不十分、「２．整備方法」：入力不十分、「３．簡易診療室情報」：未入力",
IF(AND(AH79="×",AH80="×",AH81="◎"),"【要修正】以下を確認してください。"&amp;CHAR(10)&amp;"→「１．はじめに」：入力不十分、「２．整備方法」：入力不十分",
IF(AND(AH79="×",AH80="○",AH81="×"),"【要修正】以下を確認してください。"&amp;CHAR(10)&amp;"→「１．はじめに」：入力不十分、「２．整備方法」：未入力、「３．簡易診療室情報」：入力不十分",
IF(AND(AH79="×",AH80="○",AH81="○"),"【要修正】以下を確認してください。"&amp;CHAR(10)&amp;"→「１．はじめに」：入力不十分、「２．整備方法」：未入力、「３．簡易診療室情報」：未入力",
IF(AND(AH79="×",AH80="○",AH81="◎"),"【要修正】以下を確認してください。"&amp;CHAR(10)&amp;"→「１．はじめに」：入力不十分、「２．整備方法」：未入力",
IF(AND(AH79="×",AH80="◎",AH81="×"),"【要修正】以下を確認してください。"&amp;CHAR(10)&amp;"→「１．はじめに」：入力不十分、「３．簡易診療室情報」：入力不十分",
IF(AND(AH79="×",AH80="◎",AH81="○"),"【要修正】以下を確認してください。"&amp;CHAR(10)&amp;"→「１．はじめに」：入力不十分、「３．簡易診療室情報」：未入力",
IF(AND(AH79="×",AH80="◎",AH81="◎"),"【要修正】以下を確認してください。"&amp;CHAR(10)&amp;"→「１．はじめに」：入力不十分",
IF(AND(AH79="○",AH80="×",AH81="×"),"【要修正】以下を確認してください。"&amp;CHAR(10)&amp;"→「１．はじめに」：未入力、「２．整備方法」：入力不十分、「３．簡易診療室情報」：入力不十分",
IF(AND(AH79="○",AH80="×",AH81="○"),"【要修正】以下を確認してください。"&amp;CHAR(10)&amp;"→「１．はじめに」：未入力、「２．整備方法」：入力不十分、「３．簡易診療室情報」：未入力",
IF(AND(AH79="○",AH80="×",AH81="◎"),"【要修正】以下を確認してください。"&amp;CHAR(10)&amp;"→「１．はじめに」：未入力、「２．整備方法」：入力不十分",
IF(AND(AH79="○",AH80="○",AH81="×"),"【要修正】以下を確認してください。"&amp;CHAR(10)&amp;"→「１．はじめに」：未入力、「２．整備方法」：未入力、「３．簡易診療室情報」：入力不十分",
IF(AND(AH79="○",AH80="○",AH81="○"),"申請しない場合は入力不要です。",
IF(AND(AH79="○",AH80="○",AH81="◎"),"【要修正】以下を確認してください。"&amp;CHAR(10)&amp;"→「１．はじめに」：未入力、「２．整備方法」：未入力",
IF(AND(AH79="○",AH80="◎",AH81="×"),"【要修正】以下を確認してください。"&amp;CHAR(10)&amp;"→「１．はじめに」：未入力、「３．簡易診療室情報」：入力不十分",
IF(AND(AH79="○",AH80="◎",AH81="○"),"【要修正】以下を確認してください。"&amp;CHAR(10)&amp;"→「１．はじめに」：未入力、「３．簡易診療室情報」：未入力",
IF(AND(AH79="○",AH80="◎",AH81="◎"),"【要修正】以下を確認してください。"&amp;CHAR(10)&amp;"→「１．はじめに」：未入力",
IF(AND(AH79="○",AH80="×",AH81="×"),"【要修正】以下を確認してください。"&amp;CHAR(10)&amp;"→「１．はじめに」：未入力、「２．整備方法」：入力不十分、「３．簡易診療室情報」：入力不十分",
IF(AND(AH79="○",AH80="×",AH81="○"),"【要修正】以下を確認してください。"&amp;CHAR(10)&amp;"→「１．はじめに」：未入力、「２．整備方法」：入力不十分、「３．簡易診療室情報」：未入力",
IF(AND(AH79="○",AH80="×",AH81="◎"),"【要修正】以下を確認してください。"&amp;CHAR(10)&amp;"→「１．はじめに」：未入力、「２．整備方法」：入力不十分",
IF(AND(AH79="◎",AH80="○",AH81="×"),"【要修正】以下を確認してください。"&amp;CHAR(10)&amp;"→「２．整備方法」：未入力、「３．簡易診療室情報」：入力不十分",
IF(AND(AH79="◎",AH80="○",AH81="○"),"【要修正】以下を確認してください。"&amp;CHAR(10)&amp;"→「２．整備方法」：未入力、「３．簡易診療室情報」：未入力",
IF(AND(AH79="◎",AH80="○",AH81="◎"),"【要修正】以下を確認してください。"&amp;CHAR(10)&amp;"→「２．整備方法」：未入力",
IF(AND(AH79="◎",AH80="◎",AH81="×"),"【要修正】以下を確認してください。"&amp;CHAR(10)&amp;"→「３．簡易診療室情報」：入力不十分",
IF(AND(AH79="◎",AH80="◎",AH81="○"),"【要修正】以下を確認してください。"&amp;CHAR(10)&amp;"→「３．簡易診療室情報」：未入力",
IF(AND(AH79="◎",AH80="◎",AH81="◎"),"適切に入力がされました。")))))))))))))))))))))))))))</f>
        <v>申請しない場合は入力不要です。</v>
      </c>
      <c r="AK79" s="823"/>
      <c r="AL79" s="823"/>
      <c r="AM79" s="823"/>
      <c r="AN79" s="823"/>
      <c r="AO79" s="823"/>
      <c r="AP79" s="824"/>
    </row>
    <row r="80" spans="1:42" ht="20.100000000000001" customHeight="1" x14ac:dyDescent="0.4">
      <c r="AE80" s="820" t="s">
        <v>295</v>
      </c>
      <c r="AF80" s="821"/>
      <c r="AG80" s="821"/>
      <c r="AH80" s="225" t="str">
        <f xml:space="preserve">
IF(AND(X18="×",X19="×"),"×",
IF(AND(X18="×",X19="○"),"×",
IF(AND(X18="×",X19="◎"),"×",
IF(AND(X18="○",X19="×"),"×",
IF(AND(X18="○",X19="○"),"○",
IF(AND(X18="○",X19="◎"),"×",
IF(AND(X18="◎",X19="×"),"×",
IF(AND(X18="◎",X19="○"),"×",
IF(AND(X18="◎",X19="◎"),"◎",
)))))))))</f>
        <v>○</v>
      </c>
      <c r="AI80" s="826"/>
      <c r="AJ80" s="822"/>
      <c r="AK80" s="823"/>
      <c r="AL80" s="823"/>
      <c r="AM80" s="823"/>
      <c r="AN80" s="823"/>
      <c r="AO80" s="823"/>
      <c r="AP80" s="824"/>
    </row>
    <row r="81" spans="31:42" ht="20.100000000000001" customHeight="1" x14ac:dyDescent="0.4">
      <c r="AE81" s="820" t="s">
        <v>278</v>
      </c>
      <c r="AF81" s="821"/>
      <c r="AG81" s="821"/>
      <c r="AH81" s="10" t="str">
        <f>IF(COUNTIF(X31:X60,"×")&gt;=1,"×",IF(COUNTIF(X31:X60,"○")=30,"○","◎"))</f>
        <v>○</v>
      </c>
      <c r="AI81" s="821"/>
      <c r="AJ81" s="825"/>
      <c r="AK81" s="823"/>
      <c r="AL81" s="823"/>
      <c r="AM81" s="823"/>
      <c r="AN81" s="823"/>
      <c r="AO81" s="823"/>
      <c r="AP81" s="824"/>
    </row>
  </sheetData>
  <sheetProtection algorithmName="SHA-512" hashValue="McMDVw281wR/NyFfXqt4oUnV3OqWJsUS3atAQSkzd2GoeHHmEiyxTt2TI1UeW42SofcpnCKKTMF2Sec7RLVURw==" saltValue="f48exvOQMzkwCJpudX177g==" spinCount="100000" sheet="1" objects="1" scenarios="1"/>
  <mergeCells count="58">
    <mergeCell ref="H67:I67"/>
    <mergeCell ref="H68:I68"/>
    <mergeCell ref="H69:I69"/>
    <mergeCell ref="H70:I70"/>
    <mergeCell ref="H62:I62"/>
    <mergeCell ref="H63:I63"/>
    <mergeCell ref="H64:I64"/>
    <mergeCell ref="H65:I65"/>
    <mergeCell ref="H66:I66"/>
    <mergeCell ref="H59:I59"/>
    <mergeCell ref="H60:I60"/>
    <mergeCell ref="H52:I52"/>
    <mergeCell ref="H53:I53"/>
    <mergeCell ref="H54:I54"/>
    <mergeCell ref="H55:I55"/>
    <mergeCell ref="H56:I56"/>
    <mergeCell ref="H49:I49"/>
    <mergeCell ref="H50:I50"/>
    <mergeCell ref="H51:I51"/>
    <mergeCell ref="H57:I57"/>
    <mergeCell ref="H58:I58"/>
    <mergeCell ref="H44:I44"/>
    <mergeCell ref="H45:I45"/>
    <mergeCell ref="H46:I46"/>
    <mergeCell ref="H47:I47"/>
    <mergeCell ref="H48:I48"/>
    <mergeCell ref="AR33:AV36"/>
    <mergeCell ref="AJ78:AP78"/>
    <mergeCell ref="B6:I6"/>
    <mergeCell ref="E2:G2"/>
    <mergeCell ref="AE78:AG78"/>
    <mergeCell ref="H30:I30"/>
    <mergeCell ref="H31:I31"/>
    <mergeCell ref="H32:I32"/>
    <mergeCell ref="H33:I33"/>
    <mergeCell ref="H34:I34"/>
    <mergeCell ref="H35:I35"/>
    <mergeCell ref="H36:I36"/>
    <mergeCell ref="H37:I37"/>
    <mergeCell ref="H38:I38"/>
    <mergeCell ref="H39:I39"/>
    <mergeCell ref="H40:I40"/>
    <mergeCell ref="I1:K1"/>
    <mergeCell ref="AE79:AG79"/>
    <mergeCell ref="AE81:AG81"/>
    <mergeCell ref="AJ79:AP81"/>
    <mergeCell ref="AI79:AI81"/>
    <mergeCell ref="B7:J10"/>
    <mergeCell ref="B14:J15"/>
    <mergeCell ref="B17:J20"/>
    <mergeCell ref="B23:J23"/>
    <mergeCell ref="B29:J29"/>
    <mergeCell ref="E25:F25"/>
    <mergeCell ref="H61:I61"/>
    <mergeCell ref="AE80:AG80"/>
    <mergeCell ref="H41:I41"/>
    <mergeCell ref="H42:I42"/>
    <mergeCell ref="H43:I43"/>
  </mergeCells>
  <phoneticPr fontId="1"/>
  <conditionalFormatting sqref="AH22 X9:X10 X31:X70 AH79:AH81">
    <cfRule type="containsText" dxfId="12" priority="12" operator="containsText" text="×">
      <formula>NOT(ISERROR(SEARCH("×",X9)))</formula>
    </cfRule>
  </conditionalFormatting>
  <conditionalFormatting sqref="Y31:Y70">
    <cfRule type="containsText" dxfId="11" priority="11" operator="containsText" text="不備の点">
      <formula>NOT(ISERROR(SEARCH("不備の点",Y31)))</formula>
    </cfRule>
  </conditionalFormatting>
  <conditionalFormatting sqref="Y9:Y10">
    <cfRule type="containsText" dxfId="10" priority="9" operator="containsText" text="要修正">
      <formula>NOT(ISERROR(SEARCH("要修正",Y9)))</formula>
    </cfRule>
  </conditionalFormatting>
  <conditionalFormatting sqref="AI79:AI80">
    <cfRule type="containsText" dxfId="9" priority="6" operator="containsText" text="×">
      <formula>NOT(ISERROR(SEARCH("×",AI79)))</formula>
    </cfRule>
  </conditionalFormatting>
  <conditionalFormatting sqref="AJ79:AJ80">
    <cfRule type="containsText" dxfId="8" priority="5" operator="containsText" text="要修正">
      <formula>NOT(ISERROR(SEARCH("要修正",AJ79)))</formula>
    </cfRule>
  </conditionalFormatting>
  <conditionalFormatting sqref="X18:X19">
    <cfRule type="containsText" dxfId="7" priority="2" operator="containsText" text="×">
      <formula>NOT(ISERROR(SEARCH("×",X18)))</formula>
    </cfRule>
  </conditionalFormatting>
  <conditionalFormatting sqref="Y18:Y19">
    <cfRule type="containsText" dxfId="6" priority="1" operator="containsText" text="要修正">
      <formula>NOT(ISERROR(SEARCH("要修正",Y18)))</formula>
    </cfRule>
  </conditionalFormatting>
  <dataValidations xWindow="1196" yWindow="749" count="5">
    <dataValidation allowBlank="1" showInputMessage="1" showErrorMessage="1" promptTitle="「単価（税抜）」欄と「単価（税込）」欄について" prompt="どちらか一方を入力してください。（最終的に、「金額（税込）」欄が、見積書等（発注・契約書、納品書、請求書、領収書など）と一致するようにしてください。）_x000a_入力しない方は「0」は入力せず、空欄としてください。" sqref="E31:F70" xr:uid="{00000000-0002-0000-0900-000000000000}"/>
    <dataValidation allowBlank="1" showInputMessage="1" showErrorMessage="1" promptTitle="金額の表示" prompt="数式が入力されているため、自動計算されます。" sqref="G31:G70" xr:uid="{00000000-0002-0000-0900-000001000000}"/>
    <dataValidation allowBlank="1" showInputMessage="1" showErrorMessage="1" promptTitle="設置箇所及び用途の入力" prompt="以下を参考に入力してください。_x000a_テント１張の場合_x000a_→敷地内駐車場に設置。診療室として使用。_x000a_椅子2脚の場合_x000a_→診療室内に設置。_x000a_１脚：診察用（医師使用）、１脚：診察用（患者使用）" sqref="H31:I70" xr:uid="{00000000-0002-0000-0900-000002000000}"/>
    <dataValidation type="list" allowBlank="1" showInputMessage="1" showErrorMessage="1" promptTitle="種類を選択" prompt="購入またはリース品の種別をプルダウンから選択してください。_x000a_！消耗品類は補助対象外のため計上しないでください！" sqref="B31:B70" xr:uid="{00000000-0002-0000-0900-000003000000}">
      <formula1>$V$73:$V$75</formula1>
    </dataValidation>
    <dataValidation allowBlank="1" showInputMessage="1" showErrorMessage="1" promptTitle="品名の入力" prompt="購入予定である個人防護具の品名を入力してください。（型番のみの入力の場合、購入内容が不明のため修正を依頼させていただきますのでご注意ください。）" sqref="C31:C70" xr:uid="{00000000-0002-0000-0900-000004000000}"/>
  </dataValidations>
  <printOptions horizontalCentered="1"/>
  <pageMargins left="0.7" right="0.7" top="0.75" bottom="0.75" header="0.3" footer="0.3"/>
  <pageSetup paperSize="9" scale="41"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302" r:id="rId4" name="Check Box 134">
              <controlPr defaultSize="0" autoFill="0" autoLine="0" autoPict="0">
                <anchor moveWithCells="1">
                  <from>
                    <xdr:col>1</xdr:col>
                    <xdr:colOff>371475</xdr:colOff>
                    <xdr:row>5</xdr:row>
                    <xdr:rowOff>28575</xdr:rowOff>
                  </from>
                  <to>
                    <xdr:col>1</xdr:col>
                    <xdr:colOff>790575</xdr:colOff>
                    <xdr:row>5</xdr:row>
                    <xdr:rowOff>266700</xdr:rowOff>
                  </to>
                </anchor>
              </controlPr>
            </control>
          </mc:Choice>
        </mc:AlternateContent>
        <mc:AlternateContent xmlns:mc="http://schemas.openxmlformats.org/markup-compatibility/2006">
          <mc:Choice Requires="x14">
            <control shapeId="7304" r:id="rId5" name="Check Box 136">
              <controlPr defaultSize="0" autoFill="0" autoLine="0" autoPict="0">
                <anchor moveWithCells="1">
                  <from>
                    <xdr:col>4</xdr:col>
                    <xdr:colOff>523875</xdr:colOff>
                    <xdr:row>4</xdr:row>
                    <xdr:rowOff>314325</xdr:rowOff>
                  </from>
                  <to>
                    <xdr:col>4</xdr:col>
                    <xdr:colOff>904875</xdr:colOff>
                    <xdr:row>5</xdr:row>
                    <xdr:rowOff>276225</xdr:rowOff>
                  </to>
                </anchor>
              </controlPr>
            </control>
          </mc:Choice>
        </mc:AlternateContent>
        <mc:AlternateContent xmlns:mc="http://schemas.openxmlformats.org/markup-compatibility/2006">
          <mc:Choice Requires="x14">
            <control shapeId="7579" r:id="rId6" name="Check Box 411">
              <controlPr defaultSize="0" autoFill="0" autoLine="0" autoPict="0">
                <anchor moveWithCells="1">
                  <from>
                    <xdr:col>2</xdr:col>
                    <xdr:colOff>1057275</xdr:colOff>
                    <xdr:row>5</xdr:row>
                    <xdr:rowOff>9525</xdr:rowOff>
                  </from>
                  <to>
                    <xdr:col>2</xdr:col>
                    <xdr:colOff>1457325</xdr:colOff>
                    <xdr:row>5</xdr:row>
                    <xdr:rowOff>285750</xdr:rowOff>
                  </to>
                </anchor>
              </controlPr>
            </control>
          </mc:Choice>
        </mc:AlternateContent>
        <mc:AlternateContent xmlns:mc="http://schemas.openxmlformats.org/markup-compatibility/2006">
          <mc:Choice Requires="x14">
            <control shapeId="7969" r:id="rId7" name="Check Box 801">
              <controlPr defaultSize="0" autoFill="0" autoLine="0" autoPict="0">
                <anchor moveWithCells="1">
                  <from>
                    <xdr:col>1</xdr:col>
                    <xdr:colOff>409575</xdr:colOff>
                    <xdr:row>15</xdr:row>
                    <xdr:rowOff>9525</xdr:rowOff>
                  </from>
                  <to>
                    <xdr:col>1</xdr:col>
                    <xdr:colOff>838200</xdr:colOff>
                    <xdr:row>15</xdr:row>
                    <xdr:rowOff>247650</xdr:rowOff>
                  </to>
                </anchor>
              </controlPr>
            </control>
          </mc:Choice>
        </mc:AlternateContent>
        <mc:AlternateContent xmlns:mc="http://schemas.openxmlformats.org/markup-compatibility/2006">
          <mc:Choice Requires="x14">
            <control shapeId="7970" r:id="rId8" name="Check Box 802">
              <controlPr defaultSize="0" autoFill="0" autoLine="0" autoPict="0">
                <anchor moveWithCells="1">
                  <from>
                    <xdr:col>2</xdr:col>
                    <xdr:colOff>1247775</xdr:colOff>
                    <xdr:row>15</xdr:row>
                    <xdr:rowOff>19050</xdr:rowOff>
                  </from>
                  <to>
                    <xdr:col>2</xdr:col>
                    <xdr:colOff>1666875</xdr:colOff>
                    <xdr:row>15</xdr:row>
                    <xdr:rowOff>266700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B1:AF44"/>
  <sheetViews>
    <sheetView showGridLines="0" view="pageBreakPreview" zoomScale="60" zoomScaleNormal="60" workbookViewId="0">
      <selection activeCell="P44" sqref="P44"/>
    </sheetView>
  </sheetViews>
  <sheetFormatPr defaultColWidth="9" defaultRowHeight="18" x14ac:dyDescent="0.4"/>
  <cols>
    <col min="1" max="1" width="5.625" style="5" customWidth="1"/>
    <col min="2" max="8" width="12.625" style="5" customWidth="1"/>
    <col min="9" max="9" width="5.625" style="5" customWidth="1"/>
    <col min="10" max="23" width="9" style="5"/>
    <col min="24" max="24" width="11.625" style="5" bestFit="1" customWidth="1"/>
    <col min="25" max="25" width="10.5" style="5" bestFit="1" customWidth="1"/>
    <col min="26" max="26" width="10.75" style="5" bestFit="1" customWidth="1"/>
    <col min="27" max="264" width="9" style="5"/>
    <col min="265" max="265" width="12.5" style="5" customWidth="1"/>
    <col min="266" max="268" width="10.625" style="5" customWidth="1"/>
    <col min="269" max="271" width="12.625" style="5" customWidth="1"/>
    <col min="272" max="272" width="9" style="5"/>
    <col min="273" max="273" width="11.625" style="5" bestFit="1" customWidth="1"/>
    <col min="274" max="520" width="9" style="5"/>
    <col min="521" max="521" width="12.5" style="5" customWidth="1"/>
    <col min="522" max="524" width="10.625" style="5" customWidth="1"/>
    <col min="525" max="527" width="12.625" style="5" customWidth="1"/>
    <col min="528" max="528" width="9" style="5"/>
    <col min="529" max="529" width="11.625" style="5" bestFit="1" customWidth="1"/>
    <col min="530" max="776" width="9" style="5"/>
    <col min="777" max="777" width="12.5" style="5" customWidth="1"/>
    <col min="778" max="780" width="10.625" style="5" customWidth="1"/>
    <col min="781" max="783" width="12.625" style="5" customWidth="1"/>
    <col min="784" max="784" width="9" style="5"/>
    <col min="785" max="785" width="11.625" style="5" bestFit="1" customWidth="1"/>
    <col min="786" max="1032" width="9" style="5"/>
    <col min="1033" max="1033" width="12.5" style="5" customWidth="1"/>
    <col min="1034" max="1036" width="10.625" style="5" customWidth="1"/>
    <col min="1037" max="1039" width="12.625" style="5" customWidth="1"/>
    <col min="1040" max="1040" width="9" style="5"/>
    <col min="1041" max="1041" width="11.625" style="5" bestFit="1" customWidth="1"/>
    <col min="1042" max="1288" width="9" style="5"/>
    <col min="1289" max="1289" width="12.5" style="5" customWidth="1"/>
    <col min="1290" max="1292" width="10.625" style="5" customWidth="1"/>
    <col min="1293" max="1295" width="12.625" style="5" customWidth="1"/>
    <col min="1296" max="1296" width="9" style="5"/>
    <col min="1297" max="1297" width="11.625" style="5" bestFit="1" customWidth="1"/>
    <col min="1298" max="1544" width="9" style="5"/>
    <col min="1545" max="1545" width="12.5" style="5" customWidth="1"/>
    <col min="1546" max="1548" width="10.625" style="5" customWidth="1"/>
    <col min="1549" max="1551" width="12.625" style="5" customWidth="1"/>
    <col min="1552" max="1552" width="9" style="5"/>
    <col min="1553" max="1553" width="11.625" style="5" bestFit="1" customWidth="1"/>
    <col min="1554" max="1800" width="9" style="5"/>
    <col min="1801" max="1801" width="12.5" style="5" customWidth="1"/>
    <col min="1802" max="1804" width="10.625" style="5" customWidth="1"/>
    <col min="1805" max="1807" width="12.625" style="5" customWidth="1"/>
    <col min="1808" max="1808" width="9" style="5"/>
    <col min="1809" max="1809" width="11.625" style="5" bestFit="1" customWidth="1"/>
    <col min="1810" max="2056" width="9" style="5"/>
    <col min="2057" max="2057" width="12.5" style="5" customWidth="1"/>
    <col min="2058" max="2060" width="10.625" style="5" customWidth="1"/>
    <col min="2061" max="2063" width="12.625" style="5" customWidth="1"/>
    <col min="2064" max="2064" width="9" style="5"/>
    <col min="2065" max="2065" width="11.625" style="5" bestFit="1" customWidth="1"/>
    <col min="2066" max="2312" width="9" style="5"/>
    <col min="2313" max="2313" width="12.5" style="5" customWidth="1"/>
    <col min="2314" max="2316" width="10.625" style="5" customWidth="1"/>
    <col min="2317" max="2319" width="12.625" style="5" customWidth="1"/>
    <col min="2320" max="2320" width="9" style="5"/>
    <col min="2321" max="2321" width="11.625" style="5" bestFit="1" customWidth="1"/>
    <col min="2322" max="2568" width="9" style="5"/>
    <col min="2569" max="2569" width="12.5" style="5" customWidth="1"/>
    <col min="2570" max="2572" width="10.625" style="5" customWidth="1"/>
    <col min="2573" max="2575" width="12.625" style="5" customWidth="1"/>
    <col min="2576" max="2576" width="9" style="5"/>
    <col min="2577" max="2577" width="11.625" style="5" bestFit="1" customWidth="1"/>
    <col min="2578" max="2824" width="9" style="5"/>
    <col min="2825" max="2825" width="12.5" style="5" customWidth="1"/>
    <col min="2826" max="2828" width="10.625" style="5" customWidth="1"/>
    <col min="2829" max="2831" width="12.625" style="5" customWidth="1"/>
    <col min="2832" max="2832" width="9" style="5"/>
    <col min="2833" max="2833" width="11.625" style="5" bestFit="1" customWidth="1"/>
    <col min="2834" max="3080" width="9" style="5"/>
    <col min="3081" max="3081" width="12.5" style="5" customWidth="1"/>
    <col min="3082" max="3084" width="10.625" style="5" customWidth="1"/>
    <col min="3085" max="3087" width="12.625" style="5" customWidth="1"/>
    <col min="3088" max="3088" width="9" style="5"/>
    <col min="3089" max="3089" width="11.625" style="5" bestFit="1" customWidth="1"/>
    <col min="3090" max="3336" width="9" style="5"/>
    <col min="3337" max="3337" width="12.5" style="5" customWidth="1"/>
    <col min="3338" max="3340" width="10.625" style="5" customWidth="1"/>
    <col min="3341" max="3343" width="12.625" style="5" customWidth="1"/>
    <col min="3344" max="3344" width="9" style="5"/>
    <col min="3345" max="3345" width="11.625" style="5" bestFit="1" customWidth="1"/>
    <col min="3346" max="3592" width="9" style="5"/>
    <col min="3593" max="3593" width="12.5" style="5" customWidth="1"/>
    <col min="3594" max="3596" width="10.625" style="5" customWidth="1"/>
    <col min="3597" max="3599" width="12.625" style="5" customWidth="1"/>
    <col min="3600" max="3600" width="9" style="5"/>
    <col min="3601" max="3601" width="11.625" style="5" bestFit="1" customWidth="1"/>
    <col min="3602" max="3848" width="9" style="5"/>
    <col min="3849" max="3849" width="12.5" style="5" customWidth="1"/>
    <col min="3850" max="3852" width="10.625" style="5" customWidth="1"/>
    <col min="3853" max="3855" width="12.625" style="5" customWidth="1"/>
    <col min="3856" max="3856" width="9" style="5"/>
    <col min="3857" max="3857" width="11.625" style="5" bestFit="1" customWidth="1"/>
    <col min="3858" max="4104" width="9" style="5"/>
    <col min="4105" max="4105" width="12.5" style="5" customWidth="1"/>
    <col min="4106" max="4108" width="10.625" style="5" customWidth="1"/>
    <col min="4109" max="4111" width="12.625" style="5" customWidth="1"/>
    <col min="4112" max="4112" width="9" style="5"/>
    <col min="4113" max="4113" width="11.625" style="5" bestFit="1" customWidth="1"/>
    <col min="4114" max="4360" width="9" style="5"/>
    <col min="4361" max="4361" width="12.5" style="5" customWidth="1"/>
    <col min="4362" max="4364" width="10.625" style="5" customWidth="1"/>
    <col min="4365" max="4367" width="12.625" style="5" customWidth="1"/>
    <col min="4368" max="4368" width="9" style="5"/>
    <col min="4369" max="4369" width="11.625" style="5" bestFit="1" customWidth="1"/>
    <col min="4370" max="4616" width="9" style="5"/>
    <col min="4617" max="4617" width="12.5" style="5" customWidth="1"/>
    <col min="4618" max="4620" width="10.625" style="5" customWidth="1"/>
    <col min="4621" max="4623" width="12.625" style="5" customWidth="1"/>
    <col min="4624" max="4624" width="9" style="5"/>
    <col min="4625" max="4625" width="11.625" style="5" bestFit="1" customWidth="1"/>
    <col min="4626" max="4872" width="9" style="5"/>
    <col min="4873" max="4873" width="12.5" style="5" customWidth="1"/>
    <col min="4874" max="4876" width="10.625" style="5" customWidth="1"/>
    <col min="4877" max="4879" width="12.625" style="5" customWidth="1"/>
    <col min="4880" max="4880" width="9" style="5"/>
    <col min="4881" max="4881" width="11.625" style="5" bestFit="1" customWidth="1"/>
    <col min="4882" max="5128" width="9" style="5"/>
    <col min="5129" max="5129" width="12.5" style="5" customWidth="1"/>
    <col min="5130" max="5132" width="10.625" style="5" customWidth="1"/>
    <col min="5133" max="5135" width="12.625" style="5" customWidth="1"/>
    <col min="5136" max="5136" width="9" style="5"/>
    <col min="5137" max="5137" width="11.625" style="5" bestFit="1" customWidth="1"/>
    <col min="5138" max="5384" width="9" style="5"/>
    <col min="5385" max="5385" width="12.5" style="5" customWidth="1"/>
    <col min="5386" max="5388" width="10.625" style="5" customWidth="1"/>
    <col min="5389" max="5391" width="12.625" style="5" customWidth="1"/>
    <col min="5392" max="5392" width="9" style="5"/>
    <col min="5393" max="5393" width="11.625" style="5" bestFit="1" customWidth="1"/>
    <col min="5394" max="5640" width="9" style="5"/>
    <col min="5641" max="5641" width="12.5" style="5" customWidth="1"/>
    <col min="5642" max="5644" width="10.625" style="5" customWidth="1"/>
    <col min="5645" max="5647" width="12.625" style="5" customWidth="1"/>
    <col min="5648" max="5648" width="9" style="5"/>
    <col min="5649" max="5649" width="11.625" style="5" bestFit="1" customWidth="1"/>
    <col min="5650" max="5896" width="9" style="5"/>
    <col min="5897" max="5897" width="12.5" style="5" customWidth="1"/>
    <col min="5898" max="5900" width="10.625" style="5" customWidth="1"/>
    <col min="5901" max="5903" width="12.625" style="5" customWidth="1"/>
    <col min="5904" max="5904" width="9" style="5"/>
    <col min="5905" max="5905" width="11.625" style="5" bestFit="1" customWidth="1"/>
    <col min="5906" max="6152" width="9" style="5"/>
    <col min="6153" max="6153" width="12.5" style="5" customWidth="1"/>
    <col min="6154" max="6156" width="10.625" style="5" customWidth="1"/>
    <col min="6157" max="6159" width="12.625" style="5" customWidth="1"/>
    <col min="6160" max="6160" width="9" style="5"/>
    <col min="6161" max="6161" width="11.625" style="5" bestFit="1" customWidth="1"/>
    <col min="6162" max="6408" width="9" style="5"/>
    <col min="6409" max="6409" width="12.5" style="5" customWidth="1"/>
    <col min="6410" max="6412" width="10.625" style="5" customWidth="1"/>
    <col min="6413" max="6415" width="12.625" style="5" customWidth="1"/>
    <col min="6416" max="6416" width="9" style="5"/>
    <col min="6417" max="6417" width="11.625" style="5" bestFit="1" customWidth="1"/>
    <col min="6418" max="6664" width="9" style="5"/>
    <col min="6665" max="6665" width="12.5" style="5" customWidth="1"/>
    <col min="6666" max="6668" width="10.625" style="5" customWidth="1"/>
    <col min="6669" max="6671" width="12.625" style="5" customWidth="1"/>
    <col min="6672" max="6672" width="9" style="5"/>
    <col min="6673" max="6673" width="11.625" style="5" bestFit="1" customWidth="1"/>
    <col min="6674" max="6920" width="9" style="5"/>
    <col min="6921" max="6921" width="12.5" style="5" customWidth="1"/>
    <col min="6922" max="6924" width="10.625" style="5" customWidth="1"/>
    <col min="6925" max="6927" width="12.625" style="5" customWidth="1"/>
    <col min="6928" max="6928" width="9" style="5"/>
    <col min="6929" max="6929" width="11.625" style="5" bestFit="1" customWidth="1"/>
    <col min="6930" max="7176" width="9" style="5"/>
    <col min="7177" max="7177" width="12.5" style="5" customWidth="1"/>
    <col min="7178" max="7180" width="10.625" style="5" customWidth="1"/>
    <col min="7181" max="7183" width="12.625" style="5" customWidth="1"/>
    <col min="7184" max="7184" width="9" style="5"/>
    <col min="7185" max="7185" width="11.625" style="5" bestFit="1" customWidth="1"/>
    <col min="7186" max="7432" width="9" style="5"/>
    <col min="7433" max="7433" width="12.5" style="5" customWidth="1"/>
    <col min="7434" max="7436" width="10.625" style="5" customWidth="1"/>
    <col min="7437" max="7439" width="12.625" style="5" customWidth="1"/>
    <col min="7440" max="7440" width="9" style="5"/>
    <col min="7441" max="7441" width="11.625" style="5" bestFit="1" customWidth="1"/>
    <col min="7442" max="7688" width="9" style="5"/>
    <col min="7689" max="7689" width="12.5" style="5" customWidth="1"/>
    <col min="7690" max="7692" width="10.625" style="5" customWidth="1"/>
    <col min="7693" max="7695" width="12.625" style="5" customWidth="1"/>
    <col min="7696" max="7696" width="9" style="5"/>
    <col min="7697" max="7697" width="11.625" style="5" bestFit="1" customWidth="1"/>
    <col min="7698" max="7944" width="9" style="5"/>
    <col min="7945" max="7945" width="12.5" style="5" customWidth="1"/>
    <col min="7946" max="7948" width="10.625" style="5" customWidth="1"/>
    <col min="7949" max="7951" width="12.625" style="5" customWidth="1"/>
    <col min="7952" max="7952" width="9" style="5"/>
    <col min="7953" max="7953" width="11.625" style="5" bestFit="1" customWidth="1"/>
    <col min="7954" max="8200" width="9" style="5"/>
    <col min="8201" max="8201" width="12.5" style="5" customWidth="1"/>
    <col min="8202" max="8204" width="10.625" style="5" customWidth="1"/>
    <col min="8205" max="8207" width="12.625" style="5" customWidth="1"/>
    <col min="8208" max="8208" width="9" style="5"/>
    <col min="8209" max="8209" width="11.625" style="5" bestFit="1" customWidth="1"/>
    <col min="8210" max="8456" width="9" style="5"/>
    <col min="8457" max="8457" width="12.5" style="5" customWidth="1"/>
    <col min="8458" max="8460" width="10.625" style="5" customWidth="1"/>
    <col min="8461" max="8463" width="12.625" style="5" customWidth="1"/>
    <col min="8464" max="8464" width="9" style="5"/>
    <col min="8465" max="8465" width="11.625" style="5" bestFit="1" customWidth="1"/>
    <col min="8466" max="8712" width="9" style="5"/>
    <col min="8713" max="8713" width="12.5" style="5" customWidth="1"/>
    <col min="8714" max="8716" width="10.625" style="5" customWidth="1"/>
    <col min="8717" max="8719" width="12.625" style="5" customWidth="1"/>
    <col min="8720" max="8720" width="9" style="5"/>
    <col min="8721" max="8721" width="11.625" style="5" bestFit="1" customWidth="1"/>
    <col min="8722" max="8968" width="9" style="5"/>
    <col min="8969" max="8969" width="12.5" style="5" customWidth="1"/>
    <col min="8970" max="8972" width="10.625" style="5" customWidth="1"/>
    <col min="8973" max="8975" width="12.625" style="5" customWidth="1"/>
    <col min="8976" max="8976" width="9" style="5"/>
    <col min="8977" max="8977" width="11.625" style="5" bestFit="1" customWidth="1"/>
    <col min="8978" max="9224" width="9" style="5"/>
    <col min="9225" max="9225" width="12.5" style="5" customWidth="1"/>
    <col min="9226" max="9228" width="10.625" style="5" customWidth="1"/>
    <col min="9229" max="9231" width="12.625" style="5" customWidth="1"/>
    <col min="9232" max="9232" width="9" style="5"/>
    <col min="9233" max="9233" width="11.625" style="5" bestFit="1" customWidth="1"/>
    <col min="9234" max="9480" width="9" style="5"/>
    <col min="9481" max="9481" width="12.5" style="5" customWidth="1"/>
    <col min="9482" max="9484" width="10.625" style="5" customWidth="1"/>
    <col min="9485" max="9487" width="12.625" style="5" customWidth="1"/>
    <col min="9488" max="9488" width="9" style="5"/>
    <col min="9489" max="9489" width="11.625" style="5" bestFit="1" customWidth="1"/>
    <col min="9490" max="9736" width="9" style="5"/>
    <col min="9737" max="9737" width="12.5" style="5" customWidth="1"/>
    <col min="9738" max="9740" width="10.625" style="5" customWidth="1"/>
    <col min="9741" max="9743" width="12.625" style="5" customWidth="1"/>
    <col min="9744" max="9744" width="9" style="5"/>
    <col min="9745" max="9745" width="11.625" style="5" bestFit="1" customWidth="1"/>
    <col min="9746" max="9992" width="9" style="5"/>
    <col min="9993" max="9993" width="12.5" style="5" customWidth="1"/>
    <col min="9994" max="9996" width="10.625" style="5" customWidth="1"/>
    <col min="9997" max="9999" width="12.625" style="5" customWidth="1"/>
    <col min="10000" max="10000" width="9" style="5"/>
    <col min="10001" max="10001" width="11.625" style="5" bestFit="1" customWidth="1"/>
    <col min="10002" max="10248" width="9" style="5"/>
    <col min="10249" max="10249" width="12.5" style="5" customWidth="1"/>
    <col min="10250" max="10252" width="10.625" style="5" customWidth="1"/>
    <col min="10253" max="10255" width="12.625" style="5" customWidth="1"/>
    <col min="10256" max="10256" width="9" style="5"/>
    <col min="10257" max="10257" width="11.625" style="5" bestFit="1" customWidth="1"/>
    <col min="10258" max="10504" width="9" style="5"/>
    <col min="10505" max="10505" width="12.5" style="5" customWidth="1"/>
    <col min="10506" max="10508" width="10.625" style="5" customWidth="1"/>
    <col min="10509" max="10511" width="12.625" style="5" customWidth="1"/>
    <col min="10512" max="10512" width="9" style="5"/>
    <col min="10513" max="10513" width="11.625" style="5" bestFit="1" customWidth="1"/>
    <col min="10514" max="10760" width="9" style="5"/>
    <col min="10761" max="10761" width="12.5" style="5" customWidth="1"/>
    <col min="10762" max="10764" width="10.625" style="5" customWidth="1"/>
    <col min="10765" max="10767" width="12.625" style="5" customWidth="1"/>
    <col min="10768" max="10768" width="9" style="5"/>
    <col min="10769" max="10769" width="11.625" style="5" bestFit="1" customWidth="1"/>
    <col min="10770" max="11016" width="9" style="5"/>
    <col min="11017" max="11017" width="12.5" style="5" customWidth="1"/>
    <col min="11018" max="11020" width="10.625" style="5" customWidth="1"/>
    <col min="11021" max="11023" width="12.625" style="5" customWidth="1"/>
    <col min="11024" max="11024" width="9" style="5"/>
    <col min="11025" max="11025" width="11.625" style="5" bestFit="1" customWidth="1"/>
    <col min="11026" max="11272" width="9" style="5"/>
    <col min="11273" max="11273" width="12.5" style="5" customWidth="1"/>
    <col min="11274" max="11276" width="10.625" style="5" customWidth="1"/>
    <col min="11277" max="11279" width="12.625" style="5" customWidth="1"/>
    <col min="11280" max="11280" width="9" style="5"/>
    <col min="11281" max="11281" width="11.625" style="5" bestFit="1" customWidth="1"/>
    <col min="11282" max="11528" width="9" style="5"/>
    <col min="11529" max="11529" width="12.5" style="5" customWidth="1"/>
    <col min="11530" max="11532" width="10.625" style="5" customWidth="1"/>
    <col min="11533" max="11535" width="12.625" style="5" customWidth="1"/>
    <col min="11536" max="11536" width="9" style="5"/>
    <col min="11537" max="11537" width="11.625" style="5" bestFit="1" customWidth="1"/>
    <col min="11538" max="11784" width="9" style="5"/>
    <col min="11785" max="11785" width="12.5" style="5" customWidth="1"/>
    <col min="11786" max="11788" width="10.625" style="5" customWidth="1"/>
    <col min="11789" max="11791" width="12.625" style="5" customWidth="1"/>
    <col min="11792" max="11792" width="9" style="5"/>
    <col min="11793" max="11793" width="11.625" style="5" bestFit="1" customWidth="1"/>
    <col min="11794" max="12040" width="9" style="5"/>
    <col min="12041" max="12041" width="12.5" style="5" customWidth="1"/>
    <col min="12042" max="12044" width="10.625" style="5" customWidth="1"/>
    <col min="12045" max="12047" width="12.625" style="5" customWidth="1"/>
    <col min="12048" max="12048" width="9" style="5"/>
    <col min="12049" max="12049" width="11.625" style="5" bestFit="1" customWidth="1"/>
    <col min="12050" max="12296" width="9" style="5"/>
    <col min="12297" max="12297" width="12.5" style="5" customWidth="1"/>
    <col min="12298" max="12300" width="10.625" style="5" customWidth="1"/>
    <col min="12301" max="12303" width="12.625" style="5" customWidth="1"/>
    <col min="12304" max="12304" width="9" style="5"/>
    <col min="12305" max="12305" width="11.625" style="5" bestFit="1" customWidth="1"/>
    <col min="12306" max="12552" width="9" style="5"/>
    <col min="12553" max="12553" width="12.5" style="5" customWidth="1"/>
    <col min="12554" max="12556" width="10.625" style="5" customWidth="1"/>
    <col min="12557" max="12559" width="12.625" style="5" customWidth="1"/>
    <col min="12560" max="12560" width="9" style="5"/>
    <col min="12561" max="12561" width="11.625" style="5" bestFit="1" customWidth="1"/>
    <col min="12562" max="12808" width="9" style="5"/>
    <col min="12809" max="12809" width="12.5" style="5" customWidth="1"/>
    <col min="12810" max="12812" width="10.625" style="5" customWidth="1"/>
    <col min="12813" max="12815" width="12.625" style="5" customWidth="1"/>
    <col min="12816" max="12816" width="9" style="5"/>
    <col min="12817" max="12817" width="11.625" style="5" bestFit="1" customWidth="1"/>
    <col min="12818" max="13064" width="9" style="5"/>
    <col min="13065" max="13065" width="12.5" style="5" customWidth="1"/>
    <col min="13066" max="13068" width="10.625" style="5" customWidth="1"/>
    <col min="13069" max="13071" width="12.625" style="5" customWidth="1"/>
    <col min="13072" max="13072" width="9" style="5"/>
    <col min="13073" max="13073" width="11.625" style="5" bestFit="1" customWidth="1"/>
    <col min="13074" max="13320" width="9" style="5"/>
    <col min="13321" max="13321" width="12.5" style="5" customWidth="1"/>
    <col min="13322" max="13324" width="10.625" style="5" customWidth="1"/>
    <col min="13325" max="13327" width="12.625" style="5" customWidth="1"/>
    <col min="13328" max="13328" width="9" style="5"/>
    <col min="13329" max="13329" width="11.625" style="5" bestFit="1" customWidth="1"/>
    <col min="13330" max="13576" width="9" style="5"/>
    <col min="13577" max="13577" width="12.5" style="5" customWidth="1"/>
    <col min="13578" max="13580" width="10.625" style="5" customWidth="1"/>
    <col min="13581" max="13583" width="12.625" style="5" customWidth="1"/>
    <col min="13584" max="13584" width="9" style="5"/>
    <col min="13585" max="13585" width="11.625" style="5" bestFit="1" customWidth="1"/>
    <col min="13586" max="13832" width="9" style="5"/>
    <col min="13833" max="13833" width="12.5" style="5" customWidth="1"/>
    <col min="13834" max="13836" width="10.625" style="5" customWidth="1"/>
    <col min="13837" max="13839" width="12.625" style="5" customWidth="1"/>
    <col min="13840" max="13840" width="9" style="5"/>
    <col min="13841" max="13841" width="11.625" style="5" bestFit="1" customWidth="1"/>
    <col min="13842" max="14088" width="9" style="5"/>
    <col min="14089" max="14089" width="12.5" style="5" customWidth="1"/>
    <col min="14090" max="14092" width="10.625" style="5" customWidth="1"/>
    <col min="14093" max="14095" width="12.625" style="5" customWidth="1"/>
    <col min="14096" max="14096" width="9" style="5"/>
    <col min="14097" max="14097" width="11.625" style="5" bestFit="1" customWidth="1"/>
    <col min="14098" max="14344" width="9" style="5"/>
    <col min="14345" max="14345" width="12.5" style="5" customWidth="1"/>
    <col min="14346" max="14348" width="10.625" style="5" customWidth="1"/>
    <col min="14349" max="14351" width="12.625" style="5" customWidth="1"/>
    <col min="14352" max="14352" width="9" style="5"/>
    <col min="14353" max="14353" width="11.625" style="5" bestFit="1" customWidth="1"/>
    <col min="14354" max="14600" width="9" style="5"/>
    <col min="14601" max="14601" width="12.5" style="5" customWidth="1"/>
    <col min="14602" max="14604" width="10.625" style="5" customWidth="1"/>
    <col min="14605" max="14607" width="12.625" style="5" customWidth="1"/>
    <col min="14608" max="14608" width="9" style="5"/>
    <col min="14609" max="14609" width="11.625" style="5" bestFit="1" customWidth="1"/>
    <col min="14610" max="14856" width="9" style="5"/>
    <col min="14857" max="14857" width="12.5" style="5" customWidth="1"/>
    <col min="14858" max="14860" width="10.625" style="5" customWidth="1"/>
    <col min="14861" max="14863" width="12.625" style="5" customWidth="1"/>
    <col min="14864" max="14864" width="9" style="5"/>
    <col min="14865" max="14865" width="11.625" style="5" bestFit="1" customWidth="1"/>
    <col min="14866" max="15112" width="9" style="5"/>
    <col min="15113" max="15113" width="12.5" style="5" customWidth="1"/>
    <col min="15114" max="15116" width="10.625" style="5" customWidth="1"/>
    <col min="15117" max="15119" width="12.625" style="5" customWidth="1"/>
    <col min="15120" max="15120" width="9" style="5"/>
    <col min="15121" max="15121" width="11.625" style="5" bestFit="1" customWidth="1"/>
    <col min="15122" max="15368" width="9" style="5"/>
    <col min="15369" max="15369" width="12.5" style="5" customWidth="1"/>
    <col min="15370" max="15372" width="10.625" style="5" customWidth="1"/>
    <col min="15373" max="15375" width="12.625" style="5" customWidth="1"/>
    <col min="15376" max="15376" width="9" style="5"/>
    <col min="15377" max="15377" width="11.625" style="5" bestFit="1" customWidth="1"/>
    <col min="15378" max="15624" width="9" style="5"/>
    <col min="15625" max="15625" width="12.5" style="5" customWidth="1"/>
    <col min="15626" max="15628" width="10.625" style="5" customWidth="1"/>
    <col min="15629" max="15631" width="12.625" style="5" customWidth="1"/>
    <col min="15632" max="15632" width="9" style="5"/>
    <col min="15633" max="15633" width="11.625" style="5" bestFit="1" customWidth="1"/>
    <col min="15634" max="15880" width="9" style="5"/>
    <col min="15881" max="15881" width="12.5" style="5" customWidth="1"/>
    <col min="15882" max="15884" width="10.625" style="5" customWidth="1"/>
    <col min="15885" max="15887" width="12.625" style="5" customWidth="1"/>
    <col min="15888" max="15888" width="9" style="5"/>
    <col min="15889" max="15889" width="11.625" style="5" bestFit="1" customWidth="1"/>
    <col min="15890" max="16136" width="9" style="5"/>
    <col min="16137" max="16137" width="12.5" style="5" customWidth="1"/>
    <col min="16138" max="16140" width="10.625" style="5" customWidth="1"/>
    <col min="16141" max="16143" width="12.625" style="5" customWidth="1"/>
    <col min="16144" max="16144" width="9" style="5"/>
    <col min="16145" max="16145" width="11.625" style="5" bestFit="1" customWidth="1"/>
    <col min="16146" max="16384" width="9" style="5"/>
  </cols>
  <sheetData>
    <row r="1" spans="2:32" ht="21.6" customHeight="1" x14ac:dyDescent="0.4">
      <c r="B1" s="5" t="str">
        <f xml:space="preserve">
IF(OR(テーブル!B3="交付申請",テーブル!B3="交付申請（２次以降）"),"様式１－３",
IF(テーブル!B3="変更申請","様式１－３",
IF(テーブル!B3="実績報告","様式３－３")))</f>
        <v>様式３－３</v>
      </c>
      <c r="G1" s="862" t="str">
        <f>"《２次募集》"&amp;はじめに入力してください!AG18</f>
        <v>《２次募集》</v>
      </c>
      <c r="H1" s="541"/>
      <c r="I1" s="541"/>
    </row>
    <row r="2" spans="2:32" ht="35.1" customHeight="1" x14ac:dyDescent="0.4">
      <c r="B2" s="882" t="str">
        <f xml:space="preserve">
IF(OR(テーブル!B3="交付申請",テーブル!B3="交付申請（２次以降）"),"令和４年度歳入歳出予算書抄本",
IF(テーブル!B3="変更申請","令和４年度歳入歳出予算書抄本",
IF(テーブル!B3="実績報告","令和４年度歳入歳出決算書（見込書）抄本")))</f>
        <v>令和４年度歳入歳出決算書（見込書）抄本</v>
      </c>
      <c r="C2" s="882"/>
      <c r="D2" s="882"/>
      <c r="E2" s="882"/>
      <c r="F2" s="882"/>
      <c r="G2" s="882"/>
      <c r="H2" s="882"/>
    </row>
    <row r="3" spans="2:32" ht="15" customHeight="1" x14ac:dyDescent="0.4">
      <c r="B3" s="5" t="s">
        <v>27</v>
      </c>
    </row>
    <row r="4" spans="2:32" ht="15" customHeight="1" x14ac:dyDescent="0.4">
      <c r="B4" s="868" t="s">
        <v>28</v>
      </c>
      <c r="C4" s="868" t="s">
        <v>29</v>
      </c>
      <c r="D4" s="868" t="s">
        <v>30</v>
      </c>
      <c r="E4" s="868" t="s">
        <v>31</v>
      </c>
      <c r="F4" s="868" t="s">
        <v>32</v>
      </c>
      <c r="G4" s="868"/>
      <c r="H4" s="868" t="s">
        <v>33</v>
      </c>
      <c r="X4" s="864" t="s">
        <v>152</v>
      </c>
      <c r="Y4" s="868" t="s">
        <v>28</v>
      </c>
      <c r="Z4" s="868" t="s">
        <v>29</v>
      </c>
      <c r="AA4" s="868" t="s">
        <v>30</v>
      </c>
      <c r="AB4" s="868" t="s">
        <v>31</v>
      </c>
      <c r="AC4" s="868" t="s">
        <v>32</v>
      </c>
      <c r="AD4" s="868"/>
    </row>
    <row r="5" spans="2:32" ht="15" customHeight="1" x14ac:dyDescent="0.4">
      <c r="B5" s="868"/>
      <c r="C5" s="868"/>
      <c r="D5" s="868"/>
      <c r="E5" s="868"/>
      <c r="F5" s="82" t="s">
        <v>34</v>
      </c>
      <c r="G5" s="82" t="s">
        <v>35</v>
      </c>
      <c r="H5" s="868"/>
      <c r="X5" s="439"/>
      <c r="Y5" s="715"/>
      <c r="Z5" s="715"/>
      <c r="AA5" s="715"/>
      <c r="AB5" s="715"/>
      <c r="AC5" s="82" t="s">
        <v>34</v>
      </c>
      <c r="AD5" s="82" t="s">
        <v>35</v>
      </c>
    </row>
    <row r="6" spans="2:32" ht="15" customHeight="1" x14ac:dyDescent="0.4">
      <c r="B6" s="879"/>
      <c r="C6" s="879"/>
      <c r="D6" s="879"/>
      <c r="E6" s="433" t="s">
        <v>36</v>
      </c>
      <c r="F6" s="879"/>
      <c r="G6" s="433" t="s">
        <v>36</v>
      </c>
      <c r="H6" s="872"/>
      <c r="X6" s="868" t="s">
        <v>150</v>
      </c>
      <c r="Y6" s="868" t="str">
        <f>IF(COUNTA(B6)=1,"○","×")</f>
        <v>×</v>
      </c>
      <c r="Z6" s="868" t="str">
        <f>IF(COUNTA(C6)=1,"○","×")</f>
        <v>×</v>
      </c>
      <c r="AA6" s="868" t="str">
        <f>IF(COUNTA(D6)=1,"○","×")</f>
        <v>×</v>
      </c>
      <c r="AB6" s="868" t="str">
        <f>IF(COUNTA(E7)=1,"○","×")</f>
        <v>×</v>
      </c>
      <c r="AC6" s="868" t="str">
        <f>IF(COUNTA(F6)=1,"○","×")</f>
        <v>×</v>
      </c>
      <c r="AD6" s="868" t="str">
        <f>IF(COUNTA(G7)=1,"○","×")</f>
        <v>×</v>
      </c>
      <c r="AF6" s="864" t="str">
        <f>IF(COUNTIF(Y6:AD9,"○")=12,"○","×")</f>
        <v>×</v>
      </c>
    </row>
    <row r="7" spans="2:32" ht="15" customHeight="1" x14ac:dyDescent="0.4">
      <c r="B7" s="880"/>
      <c r="C7" s="880"/>
      <c r="D7" s="880"/>
      <c r="E7" s="869"/>
      <c r="F7" s="880"/>
      <c r="G7" s="869"/>
      <c r="H7" s="873"/>
      <c r="X7" s="614"/>
      <c r="Y7" s="614"/>
      <c r="Z7" s="614"/>
      <c r="AA7" s="614"/>
      <c r="AB7" s="614"/>
      <c r="AC7" s="614"/>
      <c r="AD7" s="614"/>
      <c r="AF7" s="438"/>
    </row>
    <row r="8" spans="2:32" ht="15" customHeight="1" x14ac:dyDescent="0.4">
      <c r="B8" s="880"/>
      <c r="C8" s="880"/>
      <c r="D8" s="880"/>
      <c r="E8" s="870"/>
      <c r="F8" s="880"/>
      <c r="G8" s="870"/>
      <c r="H8" s="873"/>
      <c r="X8" s="868" t="s">
        <v>151</v>
      </c>
      <c r="Y8" s="868" t="str">
        <f>IF(COUNTA(B21)=1,"○","×")</f>
        <v>×</v>
      </c>
      <c r="Z8" s="868" t="str">
        <f>IF(COUNTA(C21)=1,"○","×")</f>
        <v>×</v>
      </c>
      <c r="AA8" s="868" t="str">
        <f>IF(COUNTA(D21)=1,"○","×")</f>
        <v>×</v>
      </c>
      <c r="AB8" s="868" t="str">
        <f>IF(COUNTA(E22)=1,"○","×")</f>
        <v>×</v>
      </c>
      <c r="AC8" s="868" t="str">
        <f>IF(COUNTA(F21)=1,"○","×")</f>
        <v>×</v>
      </c>
      <c r="AD8" s="868" t="str">
        <f>IF(COUNTA(G22)=1,"○","×")</f>
        <v>×</v>
      </c>
      <c r="AF8" s="438"/>
    </row>
    <row r="9" spans="2:32" ht="15" customHeight="1" x14ac:dyDescent="0.4">
      <c r="B9" s="880"/>
      <c r="C9" s="880"/>
      <c r="D9" s="880"/>
      <c r="E9" s="870"/>
      <c r="F9" s="880"/>
      <c r="G9" s="870"/>
      <c r="H9" s="873"/>
      <c r="X9" s="614"/>
      <c r="Y9" s="614"/>
      <c r="Z9" s="614"/>
      <c r="AA9" s="614"/>
      <c r="AB9" s="614"/>
      <c r="AC9" s="614"/>
      <c r="AD9" s="614"/>
      <c r="AF9" s="439"/>
    </row>
    <row r="10" spans="2:32" ht="15" customHeight="1" x14ac:dyDescent="0.4">
      <c r="B10" s="880"/>
      <c r="C10" s="880"/>
      <c r="D10" s="880"/>
      <c r="E10" s="870"/>
      <c r="F10" s="880"/>
      <c r="G10" s="870"/>
      <c r="H10" s="873"/>
    </row>
    <row r="11" spans="2:32" ht="15" customHeight="1" x14ac:dyDescent="0.4">
      <c r="B11" s="880"/>
      <c r="C11" s="880"/>
      <c r="D11" s="880"/>
      <c r="E11" s="870"/>
      <c r="F11" s="880"/>
      <c r="G11" s="870"/>
      <c r="H11" s="873"/>
      <c r="X11" s="864" t="s">
        <v>145</v>
      </c>
      <c r="Y11" s="864" t="str">
        <f xml:space="preserve">
IF(AND(はじめに入力してください!O3="○"&amp;CHAR(10)&amp;"（公立）",歳入歳出抄本!AF6="○"),"○",
IF(AND(はじめに入力してください!O3="○"&amp;CHAR(10)&amp;"（公立）",歳入歳出抄本!AF6="×"),"×",
IF(AND(はじめに入力してください!O3&lt;&gt;"○"&amp;CHAR(10)&amp;"（公立）",歳入歳出抄本!AF6="○"),"○",
IF(AND(はじめに入力してください!O3&lt;&gt;"○"&amp;CHAR(10)&amp;"（公立）",歳入歳出抄本!AF6="×"),"○",))))</f>
        <v>○</v>
      </c>
      <c r="Z11" s="865" t="str">
        <f xml:space="preserve">
IF(AND(はじめに入力してください!O3="○"&amp;CHAR(10)&amp;"（公立）",歳入歳出抄本!AF6="○"),"適切に入力がされました。",
IF(AND(はじめに入力してください!O3="○"&amp;CHAR(10)&amp;"（公立）",歳入歳出抄本!AF6="×"),"【要修正】公立機関なので作成が必要です。",
IF(AND(はじめに入力してください!O3&lt;&gt;"○"&amp;CHAR(10)&amp;"（公立）",歳入歳出抄本!AF6="○"),"公立機関ではない場合、作成不要です。"&amp;CHAR(10)&amp;"（入力されていても特段問題はありません。）",
IF(AND(はじめに入力してください!O3&lt;&gt;"○"&amp;CHAR(10)&amp;"（公立）",歳入歳出抄本!AF6="×"),"公立機関ではない場合、作成不要です。"&amp;CHAR(10)&amp;"（入力されていても特段問題はありません。）",))))</f>
        <v>公立機関ではない場合、作成不要です。
（入力されていても特段問題はありません。）</v>
      </c>
      <c r="AA11" s="866"/>
      <c r="AB11" s="866"/>
      <c r="AC11" s="866"/>
      <c r="AD11" s="866"/>
    </row>
    <row r="12" spans="2:32" ht="15" customHeight="1" x14ac:dyDescent="0.4">
      <c r="B12" s="880"/>
      <c r="C12" s="880"/>
      <c r="D12" s="880"/>
      <c r="E12" s="870"/>
      <c r="F12" s="880"/>
      <c r="G12" s="870"/>
      <c r="H12" s="873"/>
      <c r="X12" s="438"/>
      <c r="Y12" s="438"/>
      <c r="Z12" s="867"/>
      <c r="AA12" s="867"/>
      <c r="AB12" s="867"/>
      <c r="AC12" s="867"/>
      <c r="AD12" s="867"/>
    </row>
    <row r="13" spans="2:32" ht="15" customHeight="1" x14ac:dyDescent="0.4">
      <c r="B13" s="880"/>
      <c r="C13" s="880"/>
      <c r="D13" s="880"/>
      <c r="E13" s="870"/>
      <c r="F13" s="880"/>
      <c r="G13" s="870"/>
      <c r="H13" s="873"/>
      <c r="X13" s="439"/>
      <c r="Y13" s="439"/>
      <c r="Z13" s="610"/>
      <c r="AA13" s="610"/>
      <c r="AB13" s="610"/>
      <c r="AC13" s="610"/>
      <c r="AD13" s="610"/>
      <c r="AF13" s="5">
        <f>COUNTIF(Y6:AD9,"○")</f>
        <v>0</v>
      </c>
    </row>
    <row r="14" spans="2:32" ht="15" customHeight="1" x14ac:dyDescent="0.4">
      <c r="B14" s="880"/>
      <c r="C14" s="880"/>
      <c r="D14" s="880"/>
      <c r="E14" s="870"/>
      <c r="F14" s="880"/>
      <c r="G14" s="870"/>
      <c r="H14" s="873"/>
    </row>
    <row r="15" spans="2:32" ht="15" customHeight="1" x14ac:dyDescent="0.4">
      <c r="B15" s="880"/>
      <c r="C15" s="880"/>
      <c r="D15" s="880"/>
      <c r="E15" s="870"/>
      <c r="F15" s="880"/>
      <c r="G15" s="870"/>
      <c r="H15" s="873"/>
    </row>
    <row r="16" spans="2:32" ht="15" customHeight="1" x14ac:dyDescent="0.4">
      <c r="B16" s="880"/>
      <c r="C16" s="880"/>
      <c r="D16" s="880"/>
      <c r="E16" s="870"/>
      <c r="F16" s="880"/>
      <c r="G16" s="870"/>
      <c r="H16" s="873"/>
    </row>
    <row r="17" spans="2:24" ht="15" customHeight="1" x14ac:dyDescent="0.4">
      <c r="B17" s="881"/>
      <c r="C17" s="881"/>
      <c r="D17" s="881"/>
      <c r="E17" s="871"/>
      <c r="F17" s="881"/>
      <c r="G17" s="871"/>
      <c r="H17" s="874"/>
    </row>
    <row r="18" spans="2:24" ht="15" customHeight="1" x14ac:dyDescent="0.4">
      <c r="B18" s="426" t="s">
        <v>37</v>
      </c>
      <c r="C18" s="426"/>
      <c r="D18" s="426"/>
      <c r="E18" s="426"/>
      <c r="F18" s="426"/>
      <c r="G18" s="426"/>
      <c r="H18" s="426"/>
    </row>
    <row r="19" spans="2:24" ht="15" customHeight="1" x14ac:dyDescent="0.4">
      <c r="B19" s="875" t="s">
        <v>28</v>
      </c>
      <c r="C19" s="875" t="s">
        <v>29</v>
      </c>
      <c r="D19" s="875" t="s">
        <v>30</v>
      </c>
      <c r="E19" s="877" t="s">
        <v>31</v>
      </c>
      <c r="F19" s="875" t="s">
        <v>32</v>
      </c>
      <c r="G19" s="878"/>
      <c r="H19" s="875" t="s">
        <v>33</v>
      </c>
      <c r="X19" s="3"/>
    </row>
    <row r="20" spans="2:24" ht="15" customHeight="1" x14ac:dyDescent="0.4">
      <c r="B20" s="875"/>
      <c r="C20" s="875"/>
      <c r="D20" s="875"/>
      <c r="E20" s="877"/>
      <c r="F20" s="434" t="s">
        <v>34</v>
      </c>
      <c r="G20" s="435" t="s">
        <v>35</v>
      </c>
      <c r="H20" s="875"/>
      <c r="X20" s="3"/>
    </row>
    <row r="21" spans="2:24" ht="15" customHeight="1" x14ac:dyDescent="0.4">
      <c r="B21" s="879"/>
      <c r="C21" s="879"/>
      <c r="D21" s="879"/>
      <c r="E21" s="433" t="s">
        <v>36</v>
      </c>
      <c r="F21" s="879"/>
      <c r="G21" s="433" t="s">
        <v>36</v>
      </c>
      <c r="H21" s="872"/>
      <c r="X21" s="3"/>
    </row>
    <row r="22" spans="2:24" ht="15" customHeight="1" x14ac:dyDescent="0.4">
      <c r="B22" s="880"/>
      <c r="C22" s="880"/>
      <c r="D22" s="880"/>
      <c r="E22" s="869"/>
      <c r="F22" s="880"/>
      <c r="G22" s="869"/>
      <c r="H22" s="873"/>
      <c r="X22" s="3"/>
    </row>
    <row r="23" spans="2:24" ht="15" customHeight="1" x14ac:dyDescent="0.4">
      <c r="B23" s="880"/>
      <c r="C23" s="880"/>
      <c r="D23" s="880"/>
      <c r="E23" s="870"/>
      <c r="F23" s="880"/>
      <c r="G23" s="870"/>
      <c r="H23" s="873"/>
      <c r="X23" s="4"/>
    </row>
    <row r="24" spans="2:24" ht="15" customHeight="1" x14ac:dyDescent="0.4">
      <c r="B24" s="880"/>
      <c r="C24" s="880"/>
      <c r="D24" s="880"/>
      <c r="E24" s="870"/>
      <c r="F24" s="880"/>
      <c r="G24" s="870"/>
      <c r="H24" s="873"/>
      <c r="X24" s="3"/>
    </row>
    <row r="25" spans="2:24" ht="15" customHeight="1" x14ac:dyDescent="0.4">
      <c r="B25" s="880"/>
      <c r="C25" s="880"/>
      <c r="D25" s="880"/>
      <c r="E25" s="870"/>
      <c r="F25" s="880"/>
      <c r="G25" s="870"/>
      <c r="H25" s="873"/>
      <c r="X25" s="3"/>
    </row>
    <row r="26" spans="2:24" ht="15" customHeight="1" x14ac:dyDescent="0.4">
      <c r="B26" s="880"/>
      <c r="C26" s="880"/>
      <c r="D26" s="880"/>
      <c r="E26" s="870"/>
      <c r="F26" s="880"/>
      <c r="G26" s="870"/>
      <c r="H26" s="873"/>
      <c r="X26" s="3"/>
    </row>
    <row r="27" spans="2:24" ht="15" customHeight="1" x14ac:dyDescent="0.4">
      <c r="B27" s="880"/>
      <c r="C27" s="880"/>
      <c r="D27" s="880"/>
      <c r="E27" s="870"/>
      <c r="F27" s="880"/>
      <c r="G27" s="870"/>
      <c r="H27" s="873"/>
      <c r="X27" s="3"/>
    </row>
    <row r="28" spans="2:24" ht="15" customHeight="1" x14ac:dyDescent="0.4">
      <c r="B28" s="880"/>
      <c r="C28" s="880"/>
      <c r="D28" s="880"/>
      <c r="E28" s="870"/>
      <c r="F28" s="880"/>
      <c r="G28" s="870"/>
      <c r="H28" s="873"/>
      <c r="X28" s="6"/>
    </row>
    <row r="29" spans="2:24" ht="15" customHeight="1" x14ac:dyDescent="0.4">
      <c r="B29" s="880"/>
      <c r="C29" s="880"/>
      <c r="D29" s="880"/>
      <c r="E29" s="870"/>
      <c r="F29" s="880"/>
      <c r="G29" s="870"/>
      <c r="H29" s="873"/>
      <c r="X29" s="3"/>
    </row>
    <row r="30" spans="2:24" ht="15" customHeight="1" x14ac:dyDescent="0.4">
      <c r="B30" s="880"/>
      <c r="C30" s="880"/>
      <c r="D30" s="880"/>
      <c r="E30" s="870"/>
      <c r="F30" s="880"/>
      <c r="G30" s="870"/>
      <c r="H30" s="873"/>
      <c r="X30" s="3"/>
    </row>
    <row r="31" spans="2:24" ht="15" customHeight="1" x14ac:dyDescent="0.4">
      <c r="B31" s="880"/>
      <c r="C31" s="880"/>
      <c r="D31" s="880"/>
      <c r="E31" s="870"/>
      <c r="F31" s="880"/>
      <c r="G31" s="870"/>
      <c r="H31" s="873"/>
      <c r="X31" s="3"/>
    </row>
    <row r="32" spans="2:24" ht="15" customHeight="1" x14ac:dyDescent="0.4">
      <c r="B32" s="881"/>
      <c r="C32" s="881"/>
      <c r="D32" s="881"/>
      <c r="E32" s="871"/>
      <c r="F32" s="881"/>
      <c r="G32" s="871"/>
      <c r="H32" s="874"/>
      <c r="X32" s="3"/>
    </row>
    <row r="33" spans="2:24" ht="15" customHeight="1" x14ac:dyDescent="0.4">
      <c r="X33" s="4"/>
    </row>
    <row r="34" spans="2:24" ht="15" customHeight="1" x14ac:dyDescent="0.4">
      <c r="B34" s="5" t="s">
        <v>38</v>
      </c>
      <c r="X34" s="3"/>
    </row>
    <row r="35" spans="2:24" ht="15" customHeight="1" x14ac:dyDescent="0.4">
      <c r="X35" s="3"/>
    </row>
    <row r="36" spans="2:24" ht="15" customHeight="1" x14ac:dyDescent="0.4">
      <c r="C36" s="190" t="str">
        <f>IF(テーブル!B13="","令和４年　　月　　日",テーブル!B13)</f>
        <v>提出日</v>
      </c>
      <c r="D36" s="190"/>
      <c r="E36" s="876" t="str">
        <f>IF(表紙!N5="令和　年　月　　日","",表紙!N5)</f>
        <v/>
      </c>
      <c r="F36" s="641"/>
      <c r="X36" s="3"/>
    </row>
    <row r="37" spans="2:24" ht="15" customHeight="1" x14ac:dyDescent="0.4">
      <c r="X37" s="3"/>
    </row>
    <row r="38" spans="2:24" ht="15" customHeight="1" x14ac:dyDescent="0.4">
      <c r="C38" s="191" t="s">
        <v>203</v>
      </c>
      <c r="E38" s="863" t="str">
        <f>表紙!L9</f>
        <v/>
      </c>
      <c r="F38" s="625"/>
      <c r="G38" s="625"/>
      <c r="H38" s="625"/>
      <c r="X38" s="3"/>
    </row>
    <row r="39" spans="2:24" ht="15" customHeight="1" x14ac:dyDescent="0.4">
      <c r="X39" s="7"/>
    </row>
    <row r="40" spans="2:24" ht="15" customHeight="1" x14ac:dyDescent="0.4">
      <c r="C40" s="191" t="s">
        <v>204</v>
      </c>
      <c r="E40" s="5" t="str">
        <f>はじめに入力してください!H7&amp;"　"&amp;はじめに入力してください!H8</f>
        <v>　</v>
      </c>
    </row>
    <row r="41" spans="2:24" ht="15" customHeight="1" x14ac:dyDescent="0.4">
      <c r="X41" s="3"/>
    </row>
    <row r="42" spans="2:24" ht="15" customHeight="1" x14ac:dyDescent="0.4">
      <c r="X42" s="3"/>
    </row>
    <row r="43" spans="2:24" ht="15" customHeight="1" x14ac:dyDescent="0.4">
      <c r="B43" s="5" t="s">
        <v>43</v>
      </c>
      <c r="X43" s="3"/>
    </row>
    <row r="44" spans="2:24" ht="15" customHeight="1" x14ac:dyDescent="0.4"/>
  </sheetData>
  <sheetProtection algorithmName="SHA-512" hashValue="qrJjAcCCSSkcuEaBgMjQEFFerSbC9bDHZ7EUeuu0b454sf/EVLm14P1LD8+wKyiQbJeh//QYOg68+bdcAdqihQ==" saltValue="voRppT9doGQFklqUFyF2GA==" spinCount="100000" sheet="1" objects="1" scenarios="1"/>
  <mergeCells count="54">
    <mergeCell ref="B2:H2"/>
    <mergeCell ref="B4:B5"/>
    <mergeCell ref="C4:C5"/>
    <mergeCell ref="D4:D5"/>
    <mergeCell ref="E4:E5"/>
    <mergeCell ref="F4:G4"/>
    <mergeCell ref="H4:H5"/>
    <mergeCell ref="G7:G17"/>
    <mergeCell ref="H6:H17"/>
    <mergeCell ref="B6:B17"/>
    <mergeCell ref="C6:C17"/>
    <mergeCell ref="B19:B20"/>
    <mergeCell ref="C19:C20"/>
    <mergeCell ref="D19:D20"/>
    <mergeCell ref="D6:D17"/>
    <mergeCell ref="F6:F17"/>
    <mergeCell ref="E7:E17"/>
    <mergeCell ref="B21:B32"/>
    <mergeCell ref="C21:C32"/>
    <mergeCell ref="D21:D32"/>
    <mergeCell ref="E22:E32"/>
    <mergeCell ref="F21:F32"/>
    <mergeCell ref="X4:X5"/>
    <mergeCell ref="AC6:AC7"/>
    <mergeCell ref="AD6:AD7"/>
    <mergeCell ref="AC8:AC9"/>
    <mergeCell ref="AD8:AD9"/>
    <mergeCell ref="AC4:AD4"/>
    <mergeCell ref="AA4:AA5"/>
    <mergeCell ref="Z4:Z5"/>
    <mergeCell ref="Y4:Y5"/>
    <mergeCell ref="AB4:AB5"/>
    <mergeCell ref="Z6:Z7"/>
    <mergeCell ref="AA6:AA7"/>
    <mergeCell ref="AB6:AB7"/>
    <mergeCell ref="Y8:Y9"/>
    <mergeCell ref="Z8:Z9"/>
    <mergeCell ref="AA8:AA9"/>
    <mergeCell ref="G1:I1"/>
    <mergeCell ref="E38:H38"/>
    <mergeCell ref="Y11:Y13"/>
    <mergeCell ref="AF6:AF9"/>
    <mergeCell ref="X11:X13"/>
    <mergeCell ref="Z11:AD13"/>
    <mergeCell ref="AB8:AB9"/>
    <mergeCell ref="G22:G32"/>
    <mergeCell ref="H21:H32"/>
    <mergeCell ref="X6:X7"/>
    <mergeCell ref="X8:X9"/>
    <mergeCell ref="Y6:Y7"/>
    <mergeCell ref="H19:H20"/>
    <mergeCell ref="E36:F36"/>
    <mergeCell ref="E19:E20"/>
    <mergeCell ref="F19:G19"/>
  </mergeCells>
  <phoneticPr fontId="1"/>
  <conditionalFormatting sqref="Y6:AD9">
    <cfRule type="containsText" dxfId="5" priority="3" operator="containsText" text="×">
      <formula>NOT(ISERROR(SEARCH("×",Y6)))</formula>
    </cfRule>
  </conditionalFormatting>
  <conditionalFormatting sqref="Y11:Y13">
    <cfRule type="containsText" dxfId="4" priority="2" operator="containsText" text="×">
      <formula>NOT(ISERROR(SEARCH("×",Y11)))</formula>
    </cfRule>
  </conditionalFormatting>
  <conditionalFormatting sqref="Z11:AD13">
    <cfRule type="containsText" dxfId="3" priority="1" operator="containsText" text="要修正">
      <formula>NOT(ISERROR(SEARCH("要修正",Z11)))</formula>
    </cfRule>
  </conditionalFormatting>
  <printOptions horizontalCentered="1"/>
  <pageMargins left="0.78740157480314965" right="0.78740157480314965" top="0.98425196850393704" bottom="0.98425196850393704" header="0.51181102362204722" footer="0.51181102362204722"/>
  <pageSetup paperSize="9" scale="78" orientation="portrait" r:id="rId1"/>
  <headerFooter alignWithMargins="0"/>
  <colBreaks count="1" manualBreakCount="1">
    <brk id="24" max="1048575" man="1"/>
  </col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BK779"/>
  <sheetViews>
    <sheetView view="pageBreakPreview" zoomScale="115" zoomScaleNormal="100" zoomScaleSheetLayoutView="115" workbookViewId="0">
      <pane xSplit="2" ySplit="2" topLeftCell="C531" activePane="bottomRight" state="frozen"/>
      <selection pane="topRight" activeCell="C1" sqref="C1"/>
      <selection pane="bottomLeft" activeCell="A3" sqref="A3"/>
      <selection pane="bottomRight" activeCell="P489" sqref="P489"/>
    </sheetView>
  </sheetViews>
  <sheetFormatPr defaultColWidth="8.625" defaultRowHeight="9.75" x14ac:dyDescent="0.2"/>
  <cols>
    <col min="1" max="1" width="3.625" style="387" customWidth="1"/>
    <col min="2" max="2" width="30.625" style="395" hidden="1" customWidth="1"/>
    <col min="3" max="3" width="30.625" style="396" hidden="1" customWidth="1"/>
    <col min="4" max="4" width="8.625" style="395" hidden="1" customWidth="1"/>
    <col min="5" max="5" width="3.625" style="396" hidden="1" customWidth="1"/>
    <col min="6" max="7" width="8.625" style="395" hidden="1" customWidth="1"/>
    <col min="8" max="8" width="3.625" style="396" hidden="1" customWidth="1"/>
    <col min="9" max="10" width="8.625" style="395" hidden="1" customWidth="1"/>
    <col min="11" max="11" width="8.625" style="387" hidden="1" customWidth="1"/>
    <col min="12" max="12" width="3.625" style="387" hidden="1" customWidth="1"/>
    <col min="13" max="15" width="8.625" style="188" customWidth="1"/>
    <col min="16" max="16" width="6.625" style="188" customWidth="1"/>
    <col min="17" max="17" width="8.625" style="145" hidden="1" customWidth="1"/>
    <col min="18" max="18" width="6.625" style="161" customWidth="1"/>
    <col min="19" max="26" width="6.625" style="162" customWidth="1"/>
    <col min="27" max="34" width="6.625" style="163" customWidth="1"/>
    <col min="35" max="42" width="6.625" style="162" customWidth="1"/>
    <col min="43" max="50" width="6.625" style="163" customWidth="1"/>
    <col min="51" max="58" width="6.625" style="162" customWidth="1"/>
    <col min="59" max="61" width="3.625" style="409" customWidth="1"/>
    <col min="62" max="65" width="3.625" style="148" customWidth="1"/>
    <col min="66" max="16384" width="8.625" style="148"/>
  </cols>
  <sheetData>
    <row r="1" spans="1:63" s="147" customFormat="1" ht="18.75" x14ac:dyDescent="0.4">
      <c r="A1" s="188"/>
      <c r="B1" s="392"/>
      <c r="C1" s="883"/>
      <c r="D1" s="883"/>
      <c r="E1" s="883"/>
      <c r="F1" s="883"/>
      <c r="G1" s="392"/>
      <c r="H1" s="883"/>
      <c r="I1" s="883"/>
      <c r="J1" s="392"/>
      <c r="K1" s="188"/>
      <c r="L1" s="188"/>
      <c r="M1" s="188"/>
      <c r="N1" s="188"/>
      <c r="O1" s="188"/>
      <c r="P1" s="188"/>
      <c r="Q1" s="145"/>
      <c r="R1" s="153"/>
      <c r="S1" s="402" t="s">
        <v>45</v>
      </c>
      <c r="T1" s="403"/>
      <c r="U1" s="403"/>
      <c r="V1" s="403"/>
      <c r="W1" s="403"/>
      <c r="X1" s="403"/>
      <c r="Y1" s="403"/>
      <c r="Z1" s="407"/>
      <c r="AA1" s="404" t="s">
        <v>194</v>
      </c>
      <c r="AB1" s="405"/>
      <c r="AC1" s="405"/>
      <c r="AD1" s="405"/>
      <c r="AE1" s="405"/>
      <c r="AF1" s="405"/>
      <c r="AG1" s="405"/>
      <c r="AH1" s="406"/>
      <c r="AI1" s="402" t="s">
        <v>10</v>
      </c>
      <c r="AJ1" s="403"/>
      <c r="AK1" s="403"/>
      <c r="AL1" s="403"/>
      <c r="AM1" s="403"/>
      <c r="AN1" s="403"/>
      <c r="AO1" s="403"/>
      <c r="AP1" s="407"/>
      <c r="AQ1" s="404" t="s">
        <v>46</v>
      </c>
      <c r="AR1" s="405"/>
      <c r="AS1" s="405"/>
      <c r="AT1" s="405"/>
      <c r="AU1" s="405"/>
      <c r="AV1" s="405"/>
      <c r="AW1" s="405"/>
      <c r="AX1" s="406"/>
      <c r="AY1" s="402" t="s">
        <v>107</v>
      </c>
      <c r="AZ1" s="403"/>
      <c r="BA1" s="403"/>
      <c r="BB1" s="403"/>
      <c r="BC1" s="403"/>
      <c r="BD1" s="403"/>
      <c r="BE1" s="403"/>
      <c r="BF1" s="403"/>
      <c r="BG1" s="409"/>
      <c r="BH1" s="409"/>
      <c r="BI1" s="409"/>
    </row>
    <row r="2" spans="1:63" s="147" customFormat="1" x14ac:dyDescent="0.2">
      <c r="A2" s="188" t="s">
        <v>309</v>
      </c>
      <c r="B2" s="392"/>
      <c r="C2" s="394"/>
      <c r="D2" s="392"/>
      <c r="E2" s="394"/>
      <c r="F2" s="392"/>
      <c r="G2" s="392"/>
      <c r="H2" s="394"/>
      <c r="I2" s="392"/>
      <c r="J2" s="392"/>
      <c r="K2" s="188"/>
      <c r="L2" s="188"/>
      <c r="M2" s="188" t="s">
        <v>173</v>
      </c>
      <c r="N2" s="188" t="s">
        <v>183</v>
      </c>
      <c r="O2" s="188" t="s">
        <v>143</v>
      </c>
      <c r="P2" s="188" t="s">
        <v>174</v>
      </c>
      <c r="Q2" s="145"/>
      <c r="R2" s="154" t="s">
        <v>185</v>
      </c>
      <c r="S2" s="390">
        <v>0</v>
      </c>
      <c r="T2" s="155" t="s">
        <v>187</v>
      </c>
      <c r="U2" s="155" t="s">
        <v>188</v>
      </c>
      <c r="V2" s="155" t="s">
        <v>189</v>
      </c>
      <c r="W2" s="155" t="s">
        <v>190</v>
      </c>
      <c r="X2" s="155" t="s">
        <v>191</v>
      </c>
      <c r="Y2" s="155" t="s">
        <v>192</v>
      </c>
      <c r="Z2" s="155" t="s">
        <v>193</v>
      </c>
      <c r="AA2" s="156" t="s">
        <v>186</v>
      </c>
      <c r="AB2" s="156" t="s">
        <v>187</v>
      </c>
      <c r="AC2" s="156" t="s">
        <v>188</v>
      </c>
      <c r="AD2" s="156" t="s">
        <v>189</v>
      </c>
      <c r="AE2" s="156" t="s">
        <v>190</v>
      </c>
      <c r="AF2" s="156" t="s">
        <v>191</v>
      </c>
      <c r="AG2" s="156" t="s">
        <v>192</v>
      </c>
      <c r="AH2" s="156" t="s">
        <v>193</v>
      </c>
      <c r="AI2" s="155" t="s">
        <v>186</v>
      </c>
      <c r="AJ2" s="155" t="s">
        <v>187</v>
      </c>
      <c r="AK2" s="155" t="s">
        <v>188</v>
      </c>
      <c r="AL2" s="155" t="s">
        <v>189</v>
      </c>
      <c r="AM2" s="155" t="s">
        <v>190</v>
      </c>
      <c r="AN2" s="155" t="s">
        <v>191</v>
      </c>
      <c r="AO2" s="155" t="s">
        <v>192</v>
      </c>
      <c r="AP2" s="155" t="s">
        <v>193</v>
      </c>
      <c r="AQ2" s="156" t="s">
        <v>186</v>
      </c>
      <c r="AR2" s="156" t="s">
        <v>187</v>
      </c>
      <c r="AS2" s="156" t="s">
        <v>188</v>
      </c>
      <c r="AT2" s="156" t="s">
        <v>189</v>
      </c>
      <c r="AU2" s="156" t="s">
        <v>190</v>
      </c>
      <c r="AV2" s="156" t="s">
        <v>191</v>
      </c>
      <c r="AW2" s="156" t="s">
        <v>192</v>
      </c>
      <c r="AX2" s="156" t="s">
        <v>193</v>
      </c>
      <c r="AY2" s="155" t="s">
        <v>186</v>
      </c>
      <c r="AZ2" s="155" t="s">
        <v>187</v>
      </c>
      <c r="BA2" s="155" t="s">
        <v>188</v>
      </c>
      <c r="BB2" s="155" t="s">
        <v>189</v>
      </c>
      <c r="BC2" s="155" t="s">
        <v>190</v>
      </c>
      <c r="BD2" s="155" t="s">
        <v>191</v>
      </c>
      <c r="BE2" s="155" t="s">
        <v>192</v>
      </c>
      <c r="BF2" s="155" t="s">
        <v>193</v>
      </c>
      <c r="BG2" s="427" t="s">
        <v>200</v>
      </c>
      <c r="BH2" s="393" t="s">
        <v>201</v>
      </c>
      <c r="BI2" s="393" t="s">
        <v>202</v>
      </c>
    </row>
    <row r="3" spans="1:63" x14ac:dyDescent="0.2">
      <c r="A3" s="428">
        <v>1001</v>
      </c>
      <c r="B3" s="429"/>
      <c r="C3" s="430"/>
      <c r="D3" s="429"/>
      <c r="E3" s="430"/>
      <c r="F3" s="429"/>
      <c r="G3" s="429"/>
      <c r="H3" s="430"/>
      <c r="I3" s="429"/>
      <c r="J3" s="429"/>
      <c r="K3" s="429"/>
      <c r="L3" s="383"/>
      <c r="M3" s="383" t="s">
        <v>322</v>
      </c>
      <c r="N3" s="383" t="s">
        <v>323</v>
      </c>
      <c r="O3" s="383" t="s">
        <v>324</v>
      </c>
      <c r="P3" s="383" t="s">
        <v>970</v>
      </c>
      <c r="Q3" s="383"/>
      <c r="R3" s="431">
        <v>731000</v>
      </c>
      <c r="S3" s="158">
        <v>0</v>
      </c>
      <c r="T3" s="158">
        <v>0</v>
      </c>
      <c r="U3" s="158">
        <v>0</v>
      </c>
      <c r="V3" s="158">
        <v>0</v>
      </c>
      <c r="W3" s="158">
        <v>0</v>
      </c>
      <c r="X3" s="158">
        <v>0</v>
      </c>
      <c r="Y3" s="158">
        <v>0</v>
      </c>
      <c r="Z3" s="158">
        <v>0</v>
      </c>
      <c r="AA3" s="432">
        <v>0</v>
      </c>
      <c r="AB3" s="432">
        <v>0</v>
      </c>
      <c r="AC3" s="432">
        <v>0</v>
      </c>
      <c r="AD3" s="432">
        <v>0</v>
      </c>
      <c r="AE3" s="432">
        <v>0</v>
      </c>
      <c r="AF3" s="432">
        <v>0</v>
      </c>
      <c r="AG3" s="432">
        <v>0</v>
      </c>
      <c r="AH3" s="432">
        <v>0</v>
      </c>
      <c r="AI3" s="158">
        <v>493548</v>
      </c>
      <c r="AJ3" s="158">
        <v>0</v>
      </c>
      <c r="AK3" s="158">
        <v>493548</v>
      </c>
      <c r="AL3" s="158">
        <v>493548</v>
      </c>
      <c r="AM3" s="158">
        <v>3628800</v>
      </c>
      <c r="AN3" s="158">
        <v>493548</v>
      </c>
      <c r="AO3" s="158">
        <v>493548</v>
      </c>
      <c r="AP3" s="158">
        <v>493000</v>
      </c>
      <c r="AQ3" s="432">
        <v>0</v>
      </c>
      <c r="AR3" s="432">
        <v>0</v>
      </c>
      <c r="AS3" s="432">
        <v>0</v>
      </c>
      <c r="AT3" s="432">
        <v>0</v>
      </c>
      <c r="AU3" s="432">
        <v>0</v>
      </c>
      <c r="AV3" s="432">
        <v>0</v>
      </c>
      <c r="AW3" s="432">
        <v>0</v>
      </c>
      <c r="AX3" s="432">
        <v>0</v>
      </c>
      <c r="AY3" s="158">
        <v>238920</v>
      </c>
      <c r="AZ3" s="158">
        <v>0</v>
      </c>
      <c r="BA3" s="158">
        <v>238920</v>
      </c>
      <c r="BB3" s="158">
        <v>238920</v>
      </c>
      <c r="BC3" s="158">
        <v>238920</v>
      </c>
      <c r="BD3" s="158">
        <v>238920</v>
      </c>
      <c r="BE3" s="158">
        <v>238920</v>
      </c>
      <c r="BF3" s="160">
        <v>238000</v>
      </c>
      <c r="BG3" s="383">
        <v>2023</v>
      </c>
      <c r="BH3" s="383">
        <v>1</v>
      </c>
      <c r="BI3" s="383">
        <v>19</v>
      </c>
      <c r="BK3" s="147" t="str">
        <f>IF(R3=SUM(Z3,AH3,AP3,AX3,BF3),"○","×")</f>
        <v>○</v>
      </c>
    </row>
    <row r="4" spans="1:63" x14ac:dyDescent="0.2">
      <c r="A4" s="428">
        <v>1002</v>
      </c>
      <c r="B4" s="429"/>
      <c r="C4" s="430"/>
      <c r="D4" s="429"/>
      <c r="E4" s="430"/>
      <c r="F4" s="429"/>
      <c r="G4" s="429"/>
      <c r="H4" s="430"/>
      <c r="I4" s="429"/>
      <c r="J4" s="429"/>
      <c r="K4" s="429"/>
      <c r="L4" s="383"/>
      <c r="M4" s="383" t="s">
        <v>325</v>
      </c>
      <c r="N4" s="383" t="s">
        <v>326</v>
      </c>
      <c r="O4" s="383" t="s">
        <v>327</v>
      </c>
      <c r="P4" s="383" t="s">
        <v>970</v>
      </c>
      <c r="Q4" s="383"/>
      <c r="R4" s="431">
        <v>404000</v>
      </c>
      <c r="S4" s="158">
        <v>0</v>
      </c>
      <c r="T4" s="158">
        <v>0</v>
      </c>
      <c r="U4" s="158">
        <v>0</v>
      </c>
      <c r="V4" s="158">
        <v>0</v>
      </c>
      <c r="W4" s="158">
        <v>0</v>
      </c>
      <c r="X4" s="158">
        <v>0</v>
      </c>
      <c r="Y4" s="158">
        <v>0</v>
      </c>
      <c r="Z4" s="158">
        <v>0</v>
      </c>
      <c r="AA4" s="432">
        <v>416680</v>
      </c>
      <c r="AB4" s="432">
        <v>0</v>
      </c>
      <c r="AC4" s="432">
        <v>416680</v>
      </c>
      <c r="AD4" s="432">
        <v>416680</v>
      </c>
      <c r="AE4" s="432">
        <v>410000</v>
      </c>
      <c r="AF4" s="432">
        <v>404980</v>
      </c>
      <c r="AG4" s="432">
        <v>404980</v>
      </c>
      <c r="AH4" s="432">
        <v>404000</v>
      </c>
      <c r="AI4" s="158">
        <v>0</v>
      </c>
      <c r="AJ4" s="158">
        <v>0</v>
      </c>
      <c r="AK4" s="158">
        <v>0</v>
      </c>
      <c r="AL4" s="158">
        <v>0</v>
      </c>
      <c r="AM4" s="158">
        <v>0</v>
      </c>
      <c r="AN4" s="158">
        <v>0</v>
      </c>
      <c r="AO4" s="158">
        <v>0</v>
      </c>
      <c r="AP4" s="158">
        <v>0</v>
      </c>
      <c r="AQ4" s="432">
        <v>0</v>
      </c>
      <c r="AR4" s="432">
        <v>0</v>
      </c>
      <c r="AS4" s="432">
        <v>0</v>
      </c>
      <c r="AT4" s="432">
        <v>0</v>
      </c>
      <c r="AU4" s="432">
        <v>0</v>
      </c>
      <c r="AV4" s="432">
        <v>0</v>
      </c>
      <c r="AW4" s="432">
        <v>0</v>
      </c>
      <c r="AX4" s="432">
        <v>0</v>
      </c>
      <c r="AY4" s="158">
        <v>0</v>
      </c>
      <c r="AZ4" s="158">
        <v>0</v>
      </c>
      <c r="BA4" s="158">
        <v>0</v>
      </c>
      <c r="BB4" s="158">
        <v>0</v>
      </c>
      <c r="BC4" s="158">
        <v>0</v>
      </c>
      <c r="BD4" s="158">
        <v>0</v>
      </c>
      <c r="BE4" s="158">
        <v>0</v>
      </c>
      <c r="BF4" s="160">
        <v>0</v>
      </c>
      <c r="BG4" s="383">
        <v>2023</v>
      </c>
      <c r="BH4" s="383">
        <v>1</v>
      </c>
      <c r="BI4" s="383">
        <v>19</v>
      </c>
      <c r="BK4" s="147" t="str">
        <f>IF(R4=SUM(Z4,AH4,AP4,AX4,BF4),"○","×")</f>
        <v>○</v>
      </c>
    </row>
    <row r="5" spans="1:63" x14ac:dyDescent="0.2">
      <c r="A5" s="428">
        <v>1003</v>
      </c>
      <c r="B5" s="429"/>
      <c r="C5" s="430"/>
      <c r="D5" s="429"/>
      <c r="E5" s="430"/>
      <c r="F5" s="429"/>
      <c r="G5" s="429"/>
      <c r="H5" s="430"/>
      <c r="I5" s="429"/>
      <c r="J5" s="429"/>
      <c r="K5" s="429"/>
      <c r="L5" s="383"/>
      <c r="M5" s="383" t="s">
        <v>328</v>
      </c>
      <c r="N5" s="383" t="s">
        <v>329</v>
      </c>
      <c r="O5" s="383" t="s">
        <v>330</v>
      </c>
      <c r="P5" s="383" t="s">
        <v>970</v>
      </c>
      <c r="Q5" s="383"/>
      <c r="R5" s="431">
        <v>304000</v>
      </c>
      <c r="S5" s="158">
        <v>0</v>
      </c>
      <c r="T5" s="158">
        <v>0</v>
      </c>
      <c r="U5" s="158">
        <v>0</v>
      </c>
      <c r="V5" s="158">
        <v>0</v>
      </c>
      <c r="W5" s="158">
        <v>0</v>
      </c>
      <c r="X5" s="158">
        <v>0</v>
      </c>
      <c r="Y5" s="158">
        <v>0</v>
      </c>
      <c r="Z5" s="158">
        <v>0</v>
      </c>
      <c r="AA5" s="432">
        <v>0</v>
      </c>
      <c r="AB5" s="432">
        <v>0</v>
      </c>
      <c r="AC5" s="432">
        <v>0</v>
      </c>
      <c r="AD5" s="432">
        <v>0</v>
      </c>
      <c r="AE5" s="432">
        <v>0</v>
      </c>
      <c r="AF5" s="432">
        <v>0</v>
      </c>
      <c r="AG5" s="432">
        <v>0</v>
      </c>
      <c r="AH5" s="432">
        <v>0</v>
      </c>
      <c r="AI5" s="158">
        <v>294250</v>
      </c>
      <c r="AJ5" s="158">
        <v>0</v>
      </c>
      <c r="AK5" s="158">
        <v>294250</v>
      </c>
      <c r="AL5" s="158">
        <v>294250</v>
      </c>
      <c r="AM5" s="158">
        <v>3024000</v>
      </c>
      <c r="AN5" s="158">
        <v>294250</v>
      </c>
      <c r="AO5" s="158">
        <v>294250</v>
      </c>
      <c r="AP5" s="158">
        <v>294000</v>
      </c>
      <c r="AQ5" s="432">
        <v>10340</v>
      </c>
      <c r="AR5" s="432">
        <v>0</v>
      </c>
      <c r="AS5" s="432">
        <v>10340</v>
      </c>
      <c r="AT5" s="432">
        <v>10340</v>
      </c>
      <c r="AU5" s="432">
        <v>51400</v>
      </c>
      <c r="AV5" s="432">
        <v>10340</v>
      </c>
      <c r="AW5" s="432">
        <v>10340</v>
      </c>
      <c r="AX5" s="432">
        <v>10000</v>
      </c>
      <c r="AY5" s="158">
        <v>0</v>
      </c>
      <c r="AZ5" s="158">
        <v>0</v>
      </c>
      <c r="BA5" s="158">
        <v>0</v>
      </c>
      <c r="BB5" s="158">
        <v>0</v>
      </c>
      <c r="BC5" s="158">
        <v>0</v>
      </c>
      <c r="BD5" s="158">
        <v>0</v>
      </c>
      <c r="BE5" s="158">
        <v>0</v>
      </c>
      <c r="BF5" s="160">
        <v>0</v>
      </c>
      <c r="BG5" s="383">
        <v>2023</v>
      </c>
      <c r="BH5" s="383">
        <v>1</v>
      </c>
      <c r="BI5" s="383">
        <v>19</v>
      </c>
      <c r="BK5" s="147" t="str">
        <f>IF(R5=SUM(Z5,AH5,AP5,AX5,BF5),"○","×")</f>
        <v>○</v>
      </c>
    </row>
    <row r="6" spans="1:63" x14ac:dyDescent="0.2">
      <c r="A6" s="428">
        <v>1004</v>
      </c>
      <c r="B6" s="429"/>
      <c r="C6" s="430"/>
      <c r="D6" s="429"/>
      <c r="E6" s="430"/>
      <c r="F6" s="429"/>
      <c r="G6" s="429"/>
      <c r="H6" s="430"/>
      <c r="I6" s="429"/>
      <c r="J6" s="429"/>
      <c r="K6" s="429"/>
      <c r="L6" s="383"/>
      <c r="M6" s="383" t="s">
        <v>331</v>
      </c>
      <c r="N6" s="383" t="s">
        <v>332</v>
      </c>
      <c r="O6" s="383" t="s">
        <v>333</v>
      </c>
      <c r="P6" s="383" t="s">
        <v>970</v>
      </c>
      <c r="Q6" s="383"/>
      <c r="R6" s="431">
        <v>272000</v>
      </c>
      <c r="S6" s="158">
        <v>0</v>
      </c>
      <c r="T6" s="158">
        <v>0</v>
      </c>
      <c r="U6" s="158">
        <v>0</v>
      </c>
      <c r="V6" s="158">
        <v>0</v>
      </c>
      <c r="W6" s="158">
        <v>0</v>
      </c>
      <c r="X6" s="158">
        <v>0</v>
      </c>
      <c r="Y6" s="158">
        <v>0</v>
      </c>
      <c r="Z6" s="158">
        <v>0</v>
      </c>
      <c r="AA6" s="432">
        <v>0</v>
      </c>
      <c r="AB6" s="432">
        <v>0</v>
      </c>
      <c r="AC6" s="432">
        <v>0</v>
      </c>
      <c r="AD6" s="432">
        <v>0</v>
      </c>
      <c r="AE6" s="432">
        <v>0</v>
      </c>
      <c r="AF6" s="432">
        <v>0</v>
      </c>
      <c r="AG6" s="432">
        <v>0</v>
      </c>
      <c r="AH6" s="432">
        <v>0</v>
      </c>
      <c r="AI6" s="158">
        <v>66380</v>
      </c>
      <c r="AJ6" s="158">
        <v>0</v>
      </c>
      <c r="AK6" s="158">
        <v>66380</v>
      </c>
      <c r="AL6" s="158">
        <v>66380</v>
      </c>
      <c r="AM6" s="158">
        <v>1393200</v>
      </c>
      <c r="AN6" s="158">
        <v>66380</v>
      </c>
      <c r="AO6" s="158">
        <v>66380</v>
      </c>
      <c r="AP6" s="158">
        <v>66000</v>
      </c>
      <c r="AQ6" s="432">
        <v>0</v>
      </c>
      <c r="AR6" s="432">
        <v>0</v>
      </c>
      <c r="AS6" s="432">
        <v>0</v>
      </c>
      <c r="AT6" s="432">
        <v>0</v>
      </c>
      <c r="AU6" s="432">
        <v>0</v>
      </c>
      <c r="AV6" s="432">
        <v>0</v>
      </c>
      <c r="AW6" s="432">
        <v>0</v>
      </c>
      <c r="AX6" s="432">
        <v>0</v>
      </c>
      <c r="AY6" s="158">
        <v>206580</v>
      </c>
      <c r="AZ6" s="158">
        <v>0</v>
      </c>
      <c r="BA6" s="158">
        <v>206580</v>
      </c>
      <c r="BB6" s="158">
        <v>206580</v>
      </c>
      <c r="BC6" s="158">
        <v>206580</v>
      </c>
      <c r="BD6" s="158">
        <v>206580</v>
      </c>
      <c r="BE6" s="158">
        <v>206580</v>
      </c>
      <c r="BF6" s="160">
        <v>206000</v>
      </c>
      <c r="BG6" s="383">
        <v>2023</v>
      </c>
      <c r="BH6" s="383">
        <v>1</v>
      </c>
      <c r="BI6" s="383">
        <v>19</v>
      </c>
      <c r="BK6" s="147" t="str">
        <f>IF(R6=SUM(Z6,AH6,AP6,AX6,BF6),"○","×")</f>
        <v>○</v>
      </c>
    </row>
    <row r="7" spans="1:63" x14ac:dyDescent="0.2">
      <c r="A7" s="428">
        <v>1006</v>
      </c>
      <c r="B7" s="429"/>
      <c r="C7" s="430"/>
      <c r="D7" s="429"/>
      <c r="E7" s="430"/>
      <c r="F7" s="429"/>
      <c r="G7" s="429"/>
      <c r="H7" s="430"/>
      <c r="I7" s="429"/>
      <c r="J7" s="429"/>
      <c r="K7" s="429"/>
      <c r="L7" s="383"/>
      <c r="M7" s="383" t="s">
        <v>334</v>
      </c>
      <c r="N7" s="383" t="s">
        <v>335</v>
      </c>
      <c r="O7" s="383" t="s">
        <v>336</v>
      </c>
      <c r="P7" s="383" t="s">
        <v>970</v>
      </c>
      <c r="Q7" s="383"/>
      <c r="R7" s="431">
        <v>2328000</v>
      </c>
      <c r="S7" s="158">
        <v>0</v>
      </c>
      <c r="T7" s="158">
        <v>0</v>
      </c>
      <c r="U7" s="158">
        <v>0</v>
      </c>
      <c r="V7" s="158">
        <v>0</v>
      </c>
      <c r="W7" s="158">
        <v>0</v>
      </c>
      <c r="X7" s="158">
        <v>0</v>
      </c>
      <c r="Y7" s="158">
        <v>0</v>
      </c>
      <c r="Z7" s="158">
        <v>0</v>
      </c>
      <c r="AA7" s="432">
        <v>0</v>
      </c>
      <c r="AB7" s="432">
        <v>0</v>
      </c>
      <c r="AC7" s="432">
        <v>0</v>
      </c>
      <c r="AD7" s="432">
        <v>0</v>
      </c>
      <c r="AE7" s="432">
        <v>0</v>
      </c>
      <c r="AF7" s="432">
        <v>0</v>
      </c>
      <c r="AG7" s="432">
        <v>0</v>
      </c>
      <c r="AH7" s="432">
        <v>0</v>
      </c>
      <c r="AI7" s="158">
        <v>2207952</v>
      </c>
      <c r="AJ7" s="158">
        <v>0</v>
      </c>
      <c r="AK7" s="158">
        <v>2207952</v>
      </c>
      <c r="AL7" s="158">
        <v>2207952</v>
      </c>
      <c r="AM7" s="158">
        <v>2556000</v>
      </c>
      <c r="AN7" s="158">
        <v>2207952</v>
      </c>
      <c r="AO7" s="158">
        <v>2207952</v>
      </c>
      <c r="AP7" s="158">
        <v>2207000</v>
      </c>
      <c r="AQ7" s="432">
        <v>37290</v>
      </c>
      <c r="AR7" s="432">
        <v>0</v>
      </c>
      <c r="AS7" s="432">
        <v>37290</v>
      </c>
      <c r="AT7" s="432">
        <v>37290</v>
      </c>
      <c r="AU7" s="432">
        <v>51400</v>
      </c>
      <c r="AV7" s="432">
        <v>37290</v>
      </c>
      <c r="AW7" s="432">
        <v>37290</v>
      </c>
      <c r="AX7" s="432">
        <v>37000</v>
      </c>
      <c r="AY7" s="158">
        <v>84649</v>
      </c>
      <c r="AZ7" s="158">
        <v>0</v>
      </c>
      <c r="BA7" s="158">
        <v>84649</v>
      </c>
      <c r="BB7" s="158">
        <v>84649</v>
      </c>
      <c r="BC7" s="158">
        <v>84649</v>
      </c>
      <c r="BD7" s="158">
        <v>84649</v>
      </c>
      <c r="BE7" s="158">
        <v>84649</v>
      </c>
      <c r="BF7" s="160">
        <v>84000</v>
      </c>
      <c r="BG7" s="383">
        <v>2023</v>
      </c>
      <c r="BH7" s="383">
        <v>1</v>
      </c>
      <c r="BI7" s="383">
        <v>19</v>
      </c>
      <c r="BK7" s="147" t="str">
        <f>IF(R7=SUM(Z7,AH7,AP7,AX7,BF7),"○","×")</f>
        <v>○</v>
      </c>
    </row>
    <row r="8" spans="1:63" x14ac:dyDescent="0.2">
      <c r="A8" s="428">
        <v>1007</v>
      </c>
      <c r="B8" s="429"/>
      <c r="C8" s="430"/>
      <c r="D8" s="429"/>
      <c r="E8" s="430"/>
      <c r="F8" s="429"/>
      <c r="G8" s="429"/>
      <c r="H8" s="430"/>
      <c r="I8" s="429"/>
      <c r="J8" s="429"/>
      <c r="K8" s="429"/>
      <c r="L8" s="383"/>
      <c r="M8" s="383" t="s">
        <v>337</v>
      </c>
      <c r="N8" s="383" t="s">
        <v>323</v>
      </c>
      <c r="O8" s="383" t="s">
        <v>338</v>
      </c>
      <c r="P8" s="383" t="s">
        <v>970</v>
      </c>
      <c r="Q8" s="383"/>
      <c r="R8" s="431">
        <v>1770000</v>
      </c>
      <c r="S8" s="158">
        <v>0</v>
      </c>
      <c r="T8" s="158">
        <v>0</v>
      </c>
      <c r="U8" s="158">
        <v>0</v>
      </c>
      <c r="V8" s="158">
        <v>0</v>
      </c>
      <c r="W8" s="158">
        <v>0</v>
      </c>
      <c r="X8" s="158">
        <v>0</v>
      </c>
      <c r="Y8" s="158">
        <v>0</v>
      </c>
      <c r="Z8" s="158">
        <v>0</v>
      </c>
      <c r="AA8" s="432">
        <v>792000</v>
      </c>
      <c r="AB8" s="432">
        <v>0</v>
      </c>
      <c r="AC8" s="432">
        <v>792000</v>
      </c>
      <c r="AD8" s="432">
        <v>792000</v>
      </c>
      <c r="AE8" s="432">
        <v>820000</v>
      </c>
      <c r="AF8" s="432">
        <v>792000</v>
      </c>
      <c r="AG8" s="432">
        <v>792000</v>
      </c>
      <c r="AH8" s="432">
        <v>792000</v>
      </c>
      <c r="AI8" s="158">
        <v>978590</v>
      </c>
      <c r="AJ8" s="158">
        <v>0</v>
      </c>
      <c r="AK8" s="158">
        <v>978590</v>
      </c>
      <c r="AL8" s="158">
        <v>978590</v>
      </c>
      <c r="AM8" s="158">
        <v>4633200</v>
      </c>
      <c r="AN8" s="158">
        <v>978590</v>
      </c>
      <c r="AO8" s="158">
        <v>978590</v>
      </c>
      <c r="AP8" s="158">
        <v>978000</v>
      </c>
      <c r="AQ8" s="432">
        <v>0</v>
      </c>
      <c r="AR8" s="432">
        <v>0</v>
      </c>
      <c r="AS8" s="432">
        <v>0</v>
      </c>
      <c r="AT8" s="432">
        <v>0</v>
      </c>
      <c r="AU8" s="432">
        <v>0</v>
      </c>
      <c r="AV8" s="432">
        <v>0</v>
      </c>
      <c r="AW8" s="432">
        <v>0</v>
      </c>
      <c r="AX8" s="432">
        <v>0</v>
      </c>
      <c r="AY8" s="158">
        <v>0</v>
      </c>
      <c r="AZ8" s="158">
        <v>0</v>
      </c>
      <c r="BA8" s="158">
        <v>0</v>
      </c>
      <c r="BB8" s="158">
        <v>0</v>
      </c>
      <c r="BC8" s="158">
        <v>0</v>
      </c>
      <c r="BD8" s="158">
        <v>0</v>
      </c>
      <c r="BE8" s="158">
        <v>0</v>
      </c>
      <c r="BF8" s="160">
        <v>0</v>
      </c>
      <c r="BG8" s="383">
        <v>2023</v>
      </c>
      <c r="BH8" s="383">
        <v>1</v>
      </c>
      <c r="BI8" s="383">
        <v>19</v>
      </c>
      <c r="BK8" s="147" t="str">
        <f>IF(R8=SUM(Z8,AH8,AP8,AX8,BF8),"○","×")</f>
        <v>○</v>
      </c>
    </row>
    <row r="9" spans="1:63" x14ac:dyDescent="0.2">
      <c r="A9" s="428">
        <v>1008</v>
      </c>
      <c r="B9" s="429"/>
      <c r="C9" s="430"/>
      <c r="D9" s="429"/>
      <c r="E9" s="430"/>
      <c r="F9" s="429"/>
      <c r="G9" s="429"/>
      <c r="H9" s="430"/>
      <c r="I9" s="429"/>
      <c r="J9" s="429"/>
      <c r="K9" s="429"/>
      <c r="L9" s="383"/>
      <c r="M9" s="383" t="s">
        <v>339</v>
      </c>
      <c r="N9" s="383" t="s">
        <v>340</v>
      </c>
      <c r="O9" s="383" t="s">
        <v>341</v>
      </c>
      <c r="P9" s="383" t="s">
        <v>970</v>
      </c>
      <c r="Q9" s="383"/>
      <c r="R9" s="431">
        <v>128000</v>
      </c>
      <c r="S9" s="158">
        <v>0</v>
      </c>
      <c r="T9" s="158">
        <v>0</v>
      </c>
      <c r="U9" s="158">
        <v>0</v>
      </c>
      <c r="V9" s="158">
        <v>0</v>
      </c>
      <c r="W9" s="158">
        <v>0</v>
      </c>
      <c r="X9" s="158">
        <v>0</v>
      </c>
      <c r="Y9" s="158">
        <v>0</v>
      </c>
      <c r="Z9" s="158">
        <v>0</v>
      </c>
      <c r="AA9" s="432">
        <v>0</v>
      </c>
      <c r="AB9" s="432">
        <v>0</v>
      </c>
      <c r="AC9" s="432">
        <v>0</v>
      </c>
      <c r="AD9" s="432">
        <v>0</v>
      </c>
      <c r="AE9" s="432">
        <v>0</v>
      </c>
      <c r="AF9" s="432">
        <v>0</v>
      </c>
      <c r="AG9" s="432">
        <v>0</v>
      </c>
      <c r="AH9" s="432">
        <v>0</v>
      </c>
      <c r="AI9" s="158">
        <v>0</v>
      </c>
      <c r="AJ9" s="158">
        <v>0</v>
      </c>
      <c r="AK9" s="158">
        <v>0</v>
      </c>
      <c r="AL9" s="158">
        <v>0</v>
      </c>
      <c r="AM9" s="158">
        <v>0</v>
      </c>
      <c r="AN9" s="158">
        <v>0</v>
      </c>
      <c r="AO9" s="158">
        <v>0</v>
      </c>
      <c r="AP9" s="158">
        <v>0</v>
      </c>
      <c r="AQ9" s="432">
        <v>0</v>
      </c>
      <c r="AR9" s="432">
        <v>0</v>
      </c>
      <c r="AS9" s="432">
        <v>0</v>
      </c>
      <c r="AT9" s="432">
        <v>0</v>
      </c>
      <c r="AU9" s="432">
        <v>0</v>
      </c>
      <c r="AV9" s="432">
        <v>0</v>
      </c>
      <c r="AW9" s="432">
        <v>0</v>
      </c>
      <c r="AX9" s="432">
        <v>0</v>
      </c>
      <c r="AY9" s="158">
        <v>128353</v>
      </c>
      <c r="AZ9" s="158">
        <v>0</v>
      </c>
      <c r="BA9" s="158">
        <v>128353</v>
      </c>
      <c r="BB9" s="158">
        <v>128353</v>
      </c>
      <c r="BC9" s="158">
        <v>128353</v>
      </c>
      <c r="BD9" s="158">
        <v>128353</v>
      </c>
      <c r="BE9" s="158">
        <v>128353</v>
      </c>
      <c r="BF9" s="160">
        <v>128000</v>
      </c>
      <c r="BG9" s="383">
        <v>2023</v>
      </c>
      <c r="BH9" s="383">
        <v>1</v>
      </c>
      <c r="BI9" s="383">
        <v>19</v>
      </c>
      <c r="BK9" s="147" t="str">
        <f>IF(R9=SUM(Z9,AH9,AP9,AX9,BF9),"○","×")</f>
        <v>○</v>
      </c>
    </row>
    <row r="10" spans="1:63" x14ac:dyDescent="0.2">
      <c r="A10" s="428">
        <v>1010</v>
      </c>
      <c r="B10" s="429"/>
      <c r="C10" s="430"/>
      <c r="D10" s="429"/>
      <c r="E10" s="430"/>
      <c r="F10" s="429"/>
      <c r="G10" s="429"/>
      <c r="H10" s="430"/>
      <c r="I10" s="429"/>
      <c r="J10" s="429"/>
      <c r="K10" s="429"/>
      <c r="L10" s="383"/>
      <c r="M10" s="383" t="s">
        <v>342</v>
      </c>
      <c r="N10" s="383" t="s">
        <v>343</v>
      </c>
      <c r="O10" s="383" t="s">
        <v>344</v>
      </c>
      <c r="P10" s="383" t="s">
        <v>970</v>
      </c>
      <c r="Q10" s="383"/>
      <c r="R10" s="431">
        <v>205000</v>
      </c>
      <c r="S10" s="158">
        <v>0</v>
      </c>
      <c r="T10" s="158">
        <v>0</v>
      </c>
      <c r="U10" s="158">
        <v>0</v>
      </c>
      <c r="V10" s="158">
        <v>0</v>
      </c>
      <c r="W10" s="158">
        <v>0</v>
      </c>
      <c r="X10" s="158">
        <v>0</v>
      </c>
      <c r="Y10" s="158">
        <v>0</v>
      </c>
      <c r="Z10" s="158">
        <v>0</v>
      </c>
      <c r="AA10" s="432">
        <v>214500</v>
      </c>
      <c r="AB10" s="432">
        <v>0</v>
      </c>
      <c r="AC10" s="432">
        <v>214500</v>
      </c>
      <c r="AD10" s="432">
        <v>214500</v>
      </c>
      <c r="AE10" s="432">
        <v>205000</v>
      </c>
      <c r="AF10" s="432">
        <v>205000</v>
      </c>
      <c r="AG10" s="432">
        <v>205000</v>
      </c>
      <c r="AH10" s="432">
        <v>205000</v>
      </c>
      <c r="AI10" s="158">
        <v>0</v>
      </c>
      <c r="AJ10" s="158">
        <v>0</v>
      </c>
      <c r="AK10" s="158">
        <v>0</v>
      </c>
      <c r="AL10" s="158">
        <v>0</v>
      </c>
      <c r="AM10" s="158">
        <v>0</v>
      </c>
      <c r="AN10" s="158">
        <v>0</v>
      </c>
      <c r="AO10" s="158">
        <v>0</v>
      </c>
      <c r="AP10" s="158">
        <v>0</v>
      </c>
      <c r="AQ10" s="432">
        <v>0</v>
      </c>
      <c r="AR10" s="432">
        <v>0</v>
      </c>
      <c r="AS10" s="432">
        <v>0</v>
      </c>
      <c r="AT10" s="432">
        <v>0</v>
      </c>
      <c r="AU10" s="432">
        <v>0</v>
      </c>
      <c r="AV10" s="432">
        <v>0</v>
      </c>
      <c r="AW10" s="432">
        <v>0</v>
      </c>
      <c r="AX10" s="432">
        <v>0</v>
      </c>
      <c r="AY10" s="158">
        <v>0</v>
      </c>
      <c r="AZ10" s="158">
        <v>0</v>
      </c>
      <c r="BA10" s="158">
        <v>0</v>
      </c>
      <c r="BB10" s="158">
        <v>0</v>
      </c>
      <c r="BC10" s="158">
        <v>0</v>
      </c>
      <c r="BD10" s="158">
        <v>0</v>
      </c>
      <c r="BE10" s="158">
        <v>0</v>
      </c>
      <c r="BF10" s="160">
        <v>0</v>
      </c>
      <c r="BG10" s="383">
        <v>2023</v>
      </c>
      <c r="BH10" s="383">
        <v>1</v>
      </c>
      <c r="BI10" s="383">
        <v>19</v>
      </c>
      <c r="BK10" s="147" t="str">
        <f>IF(R10=SUM(Z10,AH10,AP10,AX10,BF10),"○","×")</f>
        <v>○</v>
      </c>
    </row>
    <row r="11" spans="1:63" x14ac:dyDescent="0.2">
      <c r="A11" s="428">
        <v>1011</v>
      </c>
      <c r="B11" s="429"/>
      <c r="C11" s="430"/>
      <c r="D11" s="429"/>
      <c r="E11" s="430"/>
      <c r="F11" s="429"/>
      <c r="G11" s="429"/>
      <c r="H11" s="430"/>
      <c r="I11" s="429"/>
      <c r="J11" s="429"/>
      <c r="K11" s="429"/>
      <c r="L11" s="383"/>
      <c r="M11" s="383" t="s">
        <v>345</v>
      </c>
      <c r="N11" s="383" t="s">
        <v>323</v>
      </c>
      <c r="O11" s="383" t="s">
        <v>346</v>
      </c>
      <c r="P11" s="383" t="s">
        <v>970</v>
      </c>
      <c r="Q11" s="383"/>
      <c r="R11" s="431">
        <v>770000</v>
      </c>
      <c r="S11" s="158">
        <v>0</v>
      </c>
      <c r="T11" s="158">
        <v>0</v>
      </c>
      <c r="U11" s="158">
        <v>0</v>
      </c>
      <c r="V11" s="158">
        <v>0</v>
      </c>
      <c r="W11" s="158">
        <v>0</v>
      </c>
      <c r="X11" s="158">
        <v>0</v>
      </c>
      <c r="Y11" s="158">
        <v>0</v>
      </c>
      <c r="Z11" s="158">
        <v>0</v>
      </c>
      <c r="AA11" s="432">
        <v>770000</v>
      </c>
      <c r="AB11" s="432">
        <v>0</v>
      </c>
      <c r="AC11" s="432">
        <v>770000</v>
      </c>
      <c r="AD11" s="432">
        <v>770000</v>
      </c>
      <c r="AE11" s="432">
        <v>820000</v>
      </c>
      <c r="AF11" s="432">
        <v>770000</v>
      </c>
      <c r="AG11" s="432">
        <v>770000</v>
      </c>
      <c r="AH11" s="432">
        <v>770000</v>
      </c>
      <c r="AI11" s="158">
        <v>0</v>
      </c>
      <c r="AJ11" s="158">
        <v>0</v>
      </c>
      <c r="AK11" s="158">
        <v>0</v>
      </c>
      <c r="AL11" s="158">
        <v>0</v>
      </c>
      <c r="AM11" s="158">
        <v>0</v>
      </c>
      <c r="AN11" s="158">
        <v>0</v>
      </c>
      <c r="AO11" s="158">
        <v>0</v>
      </c>
      <c r="AP11" s="158">
        <v>0</v>
      </c>
      <c r="AQ11" s="432">
        <v>0</v>
      </c>
      <c r="AR11" s="432">
        <v>0</v>
      </c>
      <c r="AS11" s="432">
        <v>0</v>
      </c>
      <c r="AT11" s="432">
        <v>0</v>
      </c>
      <c r="AU11" s="432">
        <v>0</v>
      </c>
      <c r="AV11" s="432">
        <v>0</v>
      </c>
      <c r="AW11" s="432">
        <v>0</v>
      </c>
      <c r="AX11" s="432">
        <v>0</v>
      </c>
      <c r="AY11" s="158">
        <v>0</v>
      </c>
      <c r="AZ11" s="158">
        <v>0</v>
      </c>
      <c r="BA11" s="158">
        <v>0</v>
      </c>
      <c r="BB11" s="158">
        <v>0</v>
      </c>
      <c r="BC11" s="158">
        <v>0</v>
      </c>
      <c r="BD11" s="158">
        <v>0</v>
      </c>
      <c r="BE11" s="158">
        <v>0</v>
      </c>
      <c r="BF11" s="160">
        <v>0</v>
      </c>
      <c r="BG11" s="383">
        <v>2023</v>
      </c>
      <c r="BH11" s="383">
        <v>1</v>
      </c>
      <c r="BI11" s="383">
        <v>19</v>
      </c>
      <c r="BK11" s="147" t="str">
        <f>IF(R11=SUM(Z11,AH11,AP11,AX11,BF11),"○","×")</f>
        <v>○</v>
      </c>
    </row>
    <row r="12" spans="1:63" x14ac:dyDescent="0.2">
      <c r="A12" s="428">
        <v>1012</v>
      </c>
      <c r="B12" s="429"/>
      <c r="C12" s="430"/>
      <c r="D12" s="429"/>
      <c r="E12" s="430"/>
      <c r="F12" s="429"/>
      <c r="G12" s="429"/>
      <c r="H12" s="430"/>
      <c r="I12" s="429"/>
      <c r="J12" s="429"/>
      <c r="K12" s="429"/>
      <c r="L12" s="383"/>
      <c r="M12" s="383" t="s">
        <v>347</v>
      </c>
      <c r="N12" s="383" t="s">
        <v>343</v>
      </c>
      <c r="O12" s="383" t="s">
        <v>348</v>
      </c>
      <c r="P12" s="383" t="s">
        <v>970</v>
      </c>
      <c r="Q12" s="383"/>
      <c r="R12" s="431">
        <v>513000</v>
      </c>
      <c r="S12" s="158">
        <v>0</v>
      </c>
      <c r="T12" s="158">
        <v>0</v>
      </c>
      <c r="U12" s="158">
        <v>0</v>
      </c>
      <c r="V12" s="158">
        <v>0</v>
      </c>
      <c r="W12" s="158">
        <v>0</v>
      </c>
      <c r="X12" s="158">
        <v>0</v>
      </c>
      <c r="Y12" s="158">
        <v>0</v>
      </c>
      <c r="Z12" s="158">
        <v>0</v>
      </c>
      <c r="AA12" s="432">
        <v>0</v>
      </c>
      <c r="AB12" s="432">
        <v>0</v>
      </c>
      <c r="AC12" s="432">
        <v>0</v>
      </c>
      <c r="AD12" s="432">
        <v>0</v>
      </c>
      <c r="AE12" s="432">
        <v>0</v>
      </c>
      <c r="AF12" s="432">
        <v>0</v>
      </c>
      <c r="AG12" s="432">
        <v>0</v>
      </c>
      <c r="AH12" s="432">
        <v>0</v>
      </c>
      <c r="AI12" s="158">
        <v>180056</v>
      </c>
      <c r="AJ12" s="158">
        <v>0</v>
      </c>
      <c r="AK12" s="158">
        <v>180056</v>
      </c>
      <c r="AL12" s="158">
        <v>180056</v>
      </c>
      <c r="AM12" s="158">
        <v>720000</v>
      </c>
      <c r="AN12" s="158">
        <v>180056</v>
      </c>
      <c r="AO12" s="158">
        <v>180056</v>
      </c>
      <c r="AP12" s="158">
        <v>180000</v>
      </c>
      <c r="AQ12" s="432">
        <v>0</v>
      </c>
      <c r="AR12" s="432">
        <v>0</v>
      </c>
      <c r="AS12" s="432">
        <v>0</v>
      </c>
      <c r="AT12" s="432">
        <v>0</v>
      </c>
      <c r="AU12" s="432">
        <v>0</v>
      </c>
      <c r="AV12" s="432">
        <v>0</v>
      </c>
      <c r="AW12" s="432">
        <v>0</v>
      </c>
      <c r="AX12" s="432">
        <v>0</v>
      </c>
      <c r="AY12" s="158">
        <v>333080</v>
      </c>
      <c r="AZ12" s="158">
        <v>0</v>
      </c>
      <c r="BA12" s="158">
        <v>333080</v>
      </c>
      <c r="BB12" s="158">
        <v>333080</v>
      </c>
      <c r="BC12" s="158">
        <v>333080</v>
      </c>
      <c r="BD12" s="158">
        <v>333080</v>
      </c>
      <c r="BE12" s="158">
        <v>333080</v>
      </c>
      <c r="BF12" s="160">
        <v>333000</v>
      </c>
      <c r="BG12" s="383">
        <v>2023</v>
      </c>
      <c r="BH12" s="383">
        <v>1</v>
      </c>
      <c r="BI12" s="383">
        <v>19</v>
      </c>
      <c r="BK12" s="147" t="str">
        <f>IF(R12=SUM(Z12,AH12,AP12,AX12,BF12),"○","×")</f>
        <v>○</v>
      </c>
    </row>
    <row r="13" spans="1:63" x14ac:dyDescent="0.2">
      <c r="A13" s="428">
        <v>1013</v>
      </c>
      <c r="B13" s="429"/>
      <c r="C13" s="430"/>
      <c r="D13" s="429"/>
      <c r="E13" s="430"/>
      <c r="F13" s="429"/>
      <c r="G13" s="429"/>
      <c r="H13" s="430"/>
      <c r="I13" s="429"/>
      <c r="J13" s="429"/>
      <c r="K13" s="429"/>
      <c r="L13" s="383"/>
      <c r="M13" s="383" t="s">
        <v>349</v>
      </c>
      <c r="N13" s="383" t="s">
        <v>350</v>
      </c>
      <c r="O13" s="383" t="s">
        <v>351</v>
      </c>
      <c r="P13" s="383" t="s">
        <v>970</v>
      </c>
      <c r="Q13" s="383"/>
      <c r="R13" s="431">
        <v>632000</v>
      </c>
      <c r="S13" s="158">
        <v>0</v>
      </c>
      <c r="T13" s="158">
        <v>0</v>
      </c>
      <c r="U13" s="158">
        <v>0</v>
      </c>
      <c r="V13" s="158">
        <v>0</v>
      </c>
      <c r="W13" s="158">
        <v>0</v>
      </c>
      <c r="X13" s="158">
        <v>0</v>
      </c>
      <c r="Y13" s="158">
        <v>0</v>
      </c>
      <c r="Z13" s="158">
        <v>0</v>
      </c>
      <c r="AA13" s="432">
        <v>0</v>
      </c>
      <c r="AB13" s="432">
        <v>0</v>
      </c>
      <c r="AC13" s="432">
        <v>0</v>
      </c>
      <c r="AD13" s="432">
        <v>0</v>
      </c>
      <c r="AE13" s="432">
        <v>0</v>
      </c>
      <c r="AF13" s="432">
        <v>0</v>
      </c>
      <c r="AG13" s="432">
        <v>0</v>
      </c>
      <c r="AH13" s="432">
        <v>0</v>
      </c>
      <c r="AI13" s="158">
        <v>581750</v>
      </c>
      <c r="AJ13" s="158">
        <v>0</v>
      </c>
      <c r="AK13" s="158">
        <v>581750</v>
      </c>
      <c r="AL13" s="158">
        <v>581750</v>
      </c>
      <c r="AM13" s="158">
        <v>4320000</v>
      </c>
      <c r="AN13" s="158">
        <v>581750</v>
      </c>
      <c r="AO13" s="158">
        <v>581750</v>
      </c>
      <c r="AP13" s="158">
        <v>581000</v>
      </c>
      <c r="AQ13" s="432">
        <v>51400</v>
      </c>
      <c r="AR13" s="432">
        <v>0</v>
      </c>
      <c r="AS13" s="432">
        <v>51400</v>
      </c>
      <c r="AT13" s="432">
        <v>51400</v>
      </c>
      <c r="AU13" s="432">
        <v>51400</v>
      </c>
      <c r="AV13" s="432">
        <v>51400</v>
      </c>
      <c r="AW13" s="432">
        <v>51400</v>
      </c>
      <c r="AX13" s="432">
        <v>51000</v>
      </c>
      <c r="AY13" s="158">
        <v>0</v>
      </c>
      <c r="AZ13" s="158">
        <v>0</v>
      </c>
      <c r="BA13" s="158">
        <v>0</v>
      </c>
      <c r="BB13" s="158">
        <v>0</v>
      </c>
      <c r="BC13" s="158">
        <v>0</v>
      </c>
      <c r="BD13" s="158">
        <v>0</v>
      </c>
      <c r="BE13" s="158">
        <v>0</v>
      </c>
      <c r="BF13" s="160">
        <v>0</v>
      </c>
      <c r="BG13" s="383">
        <v>2023</v>
      </c>
      <c r="BH13" s="383">
        <v>1</v>
      </c>
      <c r="BI13" s="383">
        <v>19</v>
      </c>
      <c r="BK13" s="147" t="str">
        <f>IF(R13=SUM(Z13,AH13,AP13,AX13,BF13),"○","×")</f>
        <v>○</v>
      </c>
    </row>
    <row r="14" spans="1:63" x14ac:dyDescent="0.2">
      <c r="A14" s="428">
        <v>1014</v>
      </c>
      <c r="B14" s="429"/>
      <c r="C14" s="430"/>
      <c r="D14" s="429"/>
      <c r="E14" s="430"/>
      <c r="F14" s="429"/>
      <c r="G14" s="429"/>
      <c r="H14" s="430"/>
      <c r="I14" s="429"/>
      <c r="J14" s="429"/>
      <c r="K14" s="429"/>
      <c r="L14" s="383"/>
      <c r="M14" s="383" t="s">
        <v>352</v>
      </c>
      <c r="N14" s="383" t="s">
        <v>353</v>
      </c>
      <c r="O14" s="383" t="s">
        <v>354</v>
      </c>
      <c r="P14" s="383" t="s">
        <v>970</v>
      </c>
      <c r="Q14" s="383"/>
      <c r="R14" s="431">
        <v>383000</v>
      </c>
      <c r="S14" s="158">
        <v>0</v>
      </c>
      <c r="T14" s="158">
        <v>0</v>
      </c>
      <c r="U14" s="158">
        <v>0</v>
      </c>
      <c r="V14" s="158">
        <v>0</v>
      </c>
      <c r="W14" s="158">
        <v>0</v>
      </c>
      <c r="X14" s="158">
        <v>0</v>
      </c>
      <c r="Y14" s="158">
        <v>0</v>
      </c>
      <c r="Z14" s="158">
        <v>0</v>
      </c>
      <c r="AA14" s="432">
        <v>341000</v>
      </c>
      <c r="AB14" s="432">
        <v>0</v>
      </c>
      <c r="AC14" s="432">
        <v>341000</v>
      </c>
      <c r="AD14" s="432">
        <v>341000</v>
      </c>
      <c r="AE14" s="432">
        <v>410000</v>
      </c>
      <c r="AF14" s="432">
        <v>341000</v>
      </c>
      <c r="AG14" s="432">
        <v>341000</v>
      </c>
      <c r="AH14" s="432">
        <v>341000</v>
      </c>
      <c r="AI14" s="158">
        <v>42460</v>
      </c>
      <c r="AJ14" s="158">
        <v>0</v>
      </c>
      <c r="AK14" s="158">
        <v>42460</v>
      </c>
      <c r="AL14" s="158">
        <v>42460</v>
      </c>
      <c r="AM14" s="158">
        <v>4392000</v>
      </c>
      <c r="AN14" s="158">
        <v>42460</v>
      </c>
      <c r="AO14" s="158">
        <v>42460</v>
      </c>
      <c r="AP14" s="158">
        <v>42000</v>
      </c>
      <c r="AQ14" s="432">
        <v>0</v>
      </c>
      <c r="AR14" s="432">
        <v>0</v>
      </c>
      <c r="AS14" s="432">
        <v>0</v>
      </c>
      <c r="AT14" s="432">
        <v>0</v>
      </c>
      <c r="AU14" s="432">
        <v>0</v>
      </c>
      <c r="AV14" s="432">
        <v>0</v>
      </c>
      <c r="AW14" s="432">
        <v>0</v>
      </c>
      <c r="AX14" s="432">
        <v>0</v>
      </c>
      <c r="AY14" s="158">
        <v>0</v>
      </c>
      <c r="AZ14" s="158">
        <v>0</v>
      </c>
      <c r="BA14" s="158">
        <v>0</v>
      </c>
      <c r="BB14" s="158">
        <v>0</v>
      </c>
      <c r="BC14" s="158">
        <v>0</v>
      </c>
      <c r="BD14" s="158">
        <v>0</v>
      </c>
      <c r="BE14" s="158">
        <v>0</v>
      </c>
      <c r="BF14" s="160">
        <v>0</v>
      </c>
      <c r="BG14" s="383">
        <v>2023</v>
      </c>
      <c r="BH14" s="383">
        <v>1</v>
      </c>
      <c r="BI14" s="383">
        <v>19</v>
      </c>
      <c r="BK14" s="147" t="str">
        <f>IF(R14=SUM(Z14,AH14,AP14,AX14,BF14),"○","×")</f>
        <v>○</v>
      </c>
    </row>
    <row r="15" spans="1:63" x14ac:dyDescent="0.2">
      <c r="A15" s="428">
        <v>1015</v>
      </c>
      <c r="B15" s="429"/>
      <c r="C15" s="430"/>
      <c r="D15" s="429"/>
      <c r="E15" s="430"/>
      <c r="F15" s="429"/>
      <c r="G15" s="429"/>
      <c r="H15" s="430"/>
      <c r="I15" s="429"/>
      <c r="J15" s="429"/>
      <c r="K15" s="429"/>
      <c r="L15" s="383"/>
      <c r="M15" s="383" t="s">
        <v>355</v>
      </c>
      <c r="N15" s="383" t="s">
        <v>356</v>
      </c>
      <c r="O15" s="383" t="s">
        <v>357</v>
      </c>
      <c r="P15" s="383" t="s">
        <v>970</v>
      </c>
      <c r="Q15" s="383"/>
      <c r="R15" s="431">
        <v>407000</v>
      </c>
      <c r="S15" s="158">
        <v>0</v>
      </c>
      <c r="T15" s="158">
        <v>0</v>
      </c>
      <c r="U15" s="158">
        <v>0</v>
      </c>
      <c r="V15" s="158">
        <v>0</v>
      </c>
      <c r="W15" s="158">
        <v>0</v>
      </c>
      <c r="X15" s="158">
        <v>0</v>
      </c>
      <c r="Y15" s="158">
        <v>0</v>
      </c>
      <c r="Z15" s="158">
        <v>0</v>
      </c>
      <c r="AA15" s="432">
        <v>0</v>
      </c>
      <c r="AB15" s="432">
        <v>0</v>
      </c>
      <c r="AC15" s="432">
        <v>0</v>
      </c>
      <c r="AD15" s="432">
        <v>0</v>
      </c>
      <c r="AE15" s="432">
        <v>0</v>
      </c>
      <c r="AF15" s="432">
        <v>0</v>
      </c>
      <c r="AG15" s="432">
        <v>0</v>
      </c>
      <c r="AH15" s="432">
        <v>0</v>
      </c>
      <c r="AI15" s="158">
        <v>278420</v>
      </c>
      <c r="AJ15" s="158">
        <v>0</v>
      </c>
      <c r="AK15" s="158">
        <v>278420</v>
      </c>
      <c r="AL15" s="158">
        <v>278420</v>
      </c>
      <c r="AM15" s="158">
        <v>9828000</v>
      </c>
      <c r="AN15" s="158">
        <v>278420</v>
      </c>
      <c r="AO15" s="158">
        <v>278420</v>
      </c>
      <c r="AP15" s="158">
        <v>278000</v>
      </c>
      <c r="AQ15" s="432">
        <v>0</v>
      </c>
      <c r="AR15" s="432">
        <v>0</v>
      </c>
      <c r="AS15" s="432">
        <v>0</v>
      </c>
      <c r="AT15" s="432">
        <v>0</v>
      </c>
      <c r="AU15" s="432">
        <v>0</v>
      </c>
      <c r="AV15" s="432">
        <v>0</v>
      </c>
      <c r="AW15" s="432">
        <v>0</v>
      </c>
      <c r="AX15" s="432">
        <v>0</v>
      </c>
      <c r="AY15" s="158">
        <v>129580</v>
      </c>
      <c r="AZ15" s="158">
        <v>0</v>
      </c>
      <c r="BA15" s="158">
        <v>129580</v>
      </c>
      <c r="BB15" s="158">
        <v>129580</v>
      </c>
      <c r="BC15" s="158">
        <v>129580</v>
      </c>
      <c r="BD15" s="158">
        <v>129580</v>
      </c>
      <c r="BE15" s="158">
        <v>129580</v>
      </c>
      <c r="BF15" s="160">
        <v>129000</v>
      </c>
      <c r="BG15" s="383">
        <v>2023</v>
      </c>
      <c r="BH15" s="383">
        <v>1</v>
      </c>
      <c r="BI15" s="383">
        <v>19</v>
      </c>
      <c r="BK15" s="147" t="str">
        <f>IF(R15=SUM(Z15,AH15,AP15,AX15,BF15),"○","×")</f>
        <v>○</v>
      </c>
    </row>
    <row r="16" spans="1:63" x14ac:dyDescent="0.2">
      <c r="A16" s="428">
        <v>1016</v>
      </c>
      <c r="B16" s="429"/>
      <c r="C16" s="430"/>
      <c r="D16" s="429"/>
      <c r="E16" s="430"/>
      <c r="F16" s="429"/>
      <c r="G16" s="429"/>
      <c r="H16" s="430"/>
      <c r="I16" s="429"/>
      <c r="J16" s="429"/>
      <c r="K16" s="429"/>
      <c r="L16" s="383"/>
      <c r="M16" s="383">
        <v>1530038</v>
      </c>
      <c r="N16" s="383" t="s">
        <v>353</v>
      </c>
      <c r="O16" s="383" t="s">
        <v>358</v>
      </c>
      <c r="P16" s="383" t="s">
        <v>970</v>
      </c>
      <c r="Q16" s="383"/>
      <c r="R16" s="431">
        <v>219000</v>
      </c>
      <c r="S16" s="158">
        <v>0</v>
      </c>
      <c r="T16" s="158">
        <v>0</v>
      </c>
      <c r="U16" s="158">
        <v>0</v>
      </c>
      <c r="V16" s="158">
        <v>0</v>
      </c>
      <c r="W16" s="158">
        <v>0</v>
      </c>
      <c r="X16" s="158">
        <v>0</v>
      </c>
      <c r="Y16" s="158">
        <v>0</v>
      </c>
      <c r="Z16" s="158">
        <v>0</v>
      </c>
      <c r="AA16" s="432">
        <v>171600</v>
      </c>
      <c r="AB16" s="432">
        <v>0</v>
      </c>
      <c r="AC16" s="432">
        <v>171600</v>
      </c>
      <c r="AD16" s="432">
        <v>171600</v>
      </c>
      <c r="AE16" s="432">
        <v>205000</v>
      </c>
      <c r="AF16" s="432">
        <v>171600</v>
      </c>
      <c r="AG16" s="432">
        <v>171600</v>
      </c>
      <c r="AH16" s="432">
        <v>171000</v>
      </c>
      <c r="AI16" s="158">
        <v>48864</v>
      </c>
      <c r="AJ16" s="158">
        <v>0</v>
      </c>
      <c r="AK16" s="158">
        <v>48864</v>
      </c>
      <c r="AL16" s="158">
        <v>48864</v>
      </c>
      <c r="AM16" s="158">
        <v>1656000</v>
      </c>
      <c r="AN16" s="158">
        <v>48864</v>
      </c>
      <c r="AO16" s="158">
        <v>48864</v>
      </c>
      <c r="AP16" s="158">
        <v>48000</v>
      </c>
      <c r="AQ16" s="432">
        <v>0</v>
      </c>
      <c r="AR16" s="432">
        <v>0</v>
      </c>
      <c r="AS16" s="432">
        <v>0</v>
      </c>
      <c r="AT16" s="432">
        <v>0</v>
      </c>
      <c r="AU16" s="432">
        <v>0</v>
      </c>
      <c r="AV16" s="432">
        <v>0</v>
      </c>
      <c r="AW16" s="432">
        <v>0</v>
      </c>
      <c r="AX16" s="432">
        <v>0</v>
      </c>
      <c r="AY16" s="158">
        <v>0</v>
      </c>
      <c r="AZ16" s="158">
        <v>0</v>
      </c>
      <c r="BA16" s="158">
        <v>0</v>
      </c>
      <c r="BB16" s="158">
        <v>0</v>
      </c>
      <c r="BC16" s="158">
        <v>0</v>
      </c>
      <c r="BD16" s="158">
        <v>0</v>
      </c>
      <c r="BE16" s="158">
        <v>0</v>
      </c>
      <c r="BF16" s="160">
        <v>0</v>
      </c>
      <c r="BG16" s="383">
        <v>2023</v>
      </c>
      <c r="BH16" s="383">
        <v>1</v>
      </c>
      <c r="BI16" s="383">
        <v>19</v>
      </c>
      <c r="BK16" s="147" t="str">
        <f>IF(R16=SUM(Z16,AH16,AP16,AX16,BF16),"○","×")</f>
        <v>○</v>
      </c>
    </row>
    <row r="17" spans="1:63" s="152" customFormat="1" x14ac:dyDescent="0.2">
      <c r="A17" s="428">
        <v>1017</v>
      </c>
      <c r="B17" s="429"/>
      <c r="C17" s="430"/>
      <c r="D17" s="429"/>
      <c r="E17" s="430"/>
      <c r="F17" s="429"/>
      <c r="G17" s="429"/>
      <c r="H17" s="430"/>
      <c r="I17" s="429"/>
      <c r="J17" s="429"/>
      <c r="K17" s="429"/>
      <c r="L17" s="383"/>
      <c r="M17" s="383" t="s">
        <v>359</v>
      </c>
      <c r="N17" s="383" t="s">
        <v>360</v>
      </c>
      <c r="O17" s="383" t="s">
        <v>361</v>
      </c>
      <c r="P17" s="383" t="s">
        <v>970</v>
      </c>
      <c r="Q17" s="146"/>
      <c r="R17" s="431">
        <v>1090000</v>
      </c>
      <c r="S17" s="158">
        <v>0</v>
      </c>
      <c r="T17" s="158">
        <v>0</v>
      </c>
      <c r="U17" s="158">
        <v>0</v>
      </c>
      <c r="V17" s="158">
        <v>0</v>
      </c>
      <c r="W17" s="158">
        <v>0</v>
      </c>
      <c r="X17" s="158">
        <v>0</v>
      </c>
      <c r="Y17" s="158">
        <v>0</v>
      </c>
      <c r="Z17" s="158">
        <v>0</v>
      </c>
      <c r="AA17" s="432">
        <v>0</v>
      </c>
      <c r="AB17" s="432">
        <v>0</v>
      </c>
      <c r="AC17" s="432">
        <v>0</v>
      </c>
      <c r="AD17" s="432">
        <v>0</v>
      </c>
      <c r="AE17" s="432">
        <v>0</v>
      </c>
      <c r="AF17" s="432">
        <v>0</v>
      </c>
      <c r="AG17" s="432">
        <v>0</v>
      </c>
      <c r="AH17" s="432">
        <v>0</v>
      </c>
      <c r="AI17" s="158">
        <v>950320</v>
      </c>
      <c r="AJ17" s="158">
        <v>0</v>
      </c>
      <c r="AK17" s="158">
        <v>950320</v>
      </c>
      <c r="AL17" s="158">
        <v>950320</v>
      </c>
      <c r="AM17" s="158">
        <v>3153600</v>
      </c>
      <c r="AN17" s="158">
        <v>950320</v>
      </c>
      <c r="AO17" s="158">
        <v>950320</v>
      </c>
      <c r="AP17" s="158">
        <v>950000</v>
      </c>
      <c r="AQ17" s="432">
        <v>0</v>
      </c>
      <c r="AR17" s="432">
        <v>0</v>
      </c>
      <c r="AS17" s="432">
        <v>0</v>
      </c>
      <c r="AT17" s="432">
        <v>0</v>
      </c>
      <c r="AU17" s="432">
        <v>0</v>
      </c>
      <c r="AV17" s="432">
        <v>0</v>
      </c>
      <c r="AW17" s="432">
        <v>0</v>
      </c>
      <c r="AX17" s="432">
        <v>0</v>
      </c>
      <c r="AY17" s="158">
        <v>140580</v>
      </c>
      <c r="AZ17" s="158">
        <v>0</v>
      </c>
      <c r="BA17" s="158">
        <v>140580</v>
      </c>
      <c r="BB17" s="158">
        <v>140580</v>
      </c>
      <c r="BC17" s="158">
        <v>140580</v>
      </c>
      <c r="BD17" s="158">
        <v>140580</v>
      </c>
      <c r="BE17" s="158">
        <v>140580</v>
      </c>
      <c r="BF17" s="160">
        <v>140000</v>
      </c>
      <c r="BG17" s="383">
        <v>2023</v>
      </c>
      <c r="BH17" s="383">
        <v>1</v>
      </c>
      <c r="BI17" s="383">
        <v>19</v>
      </c>
      <c r="BK17" s="147" t="str">
        <f>IF(R17=SUM(Z17,AH17,AP17,AX17,BF17),"○","×")</f>
        <v>○</v>
      </c>
    </row>
    <row r="18" spans="1:63" x14ac:dyDescent="0.2">
      <c r="A18" s="428">
        <v>1018</v>
      </c>
      <c r="B18" s="429"/>
      <c r="C18" s="430"/>
      <c r="D18" s="429"/>
      <c r="E18" s="430"/>
      <c r="F18" s="429"/>
      <c r="G18" s="429"/>
      <c r="H18" s="430"/>
      <c r="I18" s="429"/>
      <c r="J18" s="429"/>
      <c r="K18" s="429"/>
      <c r="L18" s="383"/>
      <c r="M18" s="383" t="s">
        <v>362</v>
      </c>
      <c r="N18" s="383" t="s">
        <v>326</v>
      </c>
      <c r="O18" s="383" t="s">
        <v>363</v>
      </c>
      <c r="P18" s="383" t="s">
        <v>970</v>
      </c>
      <c r="Q18" s="383"/>
      <c r="R18" s="431">
        <v>639000</v>
      </c>
      <c r="S18" s="158">
        <v>0</v>
      </c>
      <c r="T18" s="158">
        <v>0</v>
      </c>
      <c r="U18" s="158">
        <v>0</v>
      </c>
      <c r="V18" s="158">
        <v>0</v>
      </c>
      <c r="W18" s="158">
        <v>0</v>
      </c>
      <c r="X18" s="158">
        <v>0</v>
      </c>
      <c r="Y18" s="158">
        <v>0</v>
      </c>
      <c r="Z18" s="158">
        <v>0</v>
      </c>
      <c r="AA18" s="432">
        <v>451000</v>
      </c>
      <c r="AB18" s="432">
        <v>0</v>
      </c>
      <c r="AC18" s="432">
        <v>451000</v>
      </c>
      <c r="AD18" s="432">
        <v>451000</v>
      </c>
      <c r="AE18" s="432">
        <v>410000</v>
      </c>
      <c r="AF18" s="432">
        <v>410000</v>
      </c>
      <c r="AG18" s="432">
        <v>410000</v>
      </c>
      <c r="AH18" s="432">
        <v>410000</v>
      </c>
      <c r="AI18" s="158">
        <v>229562</v>
      </c>
      <c r="AJ18" s="158">
        <v>0</v>
      </c>
      <c r="AK18" s="158">
        <v>229562</v>
      </c>
      <c r="AL18" s="158">
        <v>229562</v>
      </c>
      <c r="AM18" s="158">
        <v>5112000</v>
      </c>
      <c r="AN18" s="158">
        <v>229562</v>
      </c>
      <c r="AO18" s="158">
        <v>229562</v>
      </c>
      <c r="AP18" s="158">
        <v>229000</v>
      </c>
      <c r="AQ18" s="432">
        <v>0</v>
      </c>
      <c r="AR18" s="432">
        <v>0</v>
      </c>
      <c r="AS18" s="432">
        <v>0</v>
      </c>
      <c r="AT18" s="432">
        <v>0</v>
      </c>
      <c r="AU18" s="432">
        <v>0</v>
      </c>
      <c r="AV18" s="432">
        <v>0</v>
      </c>
      <c r="AW18" s="432">
        <v>0</v>
      </c>
      <c r="AX18" s="432">
        <v>0</v>
      </c>
      <c r="AY18" s="158">
        <v>0</v>
      </c>
      <c r="AZ18" s="158">
        <v>0</v>
      </c>
      <c r="BA18" s="158">
        <v>0</v>
      </c>
      <c r="BB18" s="158">
        <v>0</v>
      </c>
      <c r="BC18" s="158">
        <v>0</v>
      </c>
      <c r="BD18" s="158">
        <v>0</v>
      </c>
      <c r="BE18" s="158">
        <v>0</v>
      </c>
      <c r="BF18" s="160">
        <v>0</v>
      </c>
      <c r="BG18" s="383">
        <v>2023</v>
      </c>
      <c r="BH18" s="383">
        <v>1</v>
      </c>
      <c r="BI18" s="383">
        <v>19</v>
      </c>
      <c r="BK18" s="147" t="str">
        <f>IF(R18=SUM(Z18,AH18,AP18,AX18,BF18),"○","×")</f>
        <v>○</v>
      </c>
    </row>
    <row r="19" spans="1:63" x14ac:dyDescent="0.2">
      <c r="A19" s="428">
        <v>1019</v>
      </c>
      <c r="B19" s="429"/>
      <c r="C19" s="430"/>
      <c r="D19" s="429"/>
      <c r="E19" s="430"/>
      <c r="F19" s="429"/>
      <c r="G19" s="429"/>
      <c r="H19" s="430"/>
      <c r="I19" s="429"/>
      <c r="J19" s="429"/>
      <c r="K19" s="429"/>
      <c r="L19" s="383"/>
      <c r="M19" s="383" t="s">
        <v>364</v>
      </c>
      <c r="N19" s="383" t="s">
        <v>356</v>
      </c>
      <c r="O19" s="383" t="s">
        <v>365</v>
      </c>
      <c r="P19" s="383" t="s">
        <v>970</v>
      </c>
      <c r="Q19" s="383"/>
      <c r="R19" s="431">
        <v>893000</v>
      </c>
      <c r="S19" s="158">
        <v>0</v>
      </c>
      <c r="T19" s="158">
        <v>0</v>
      </c>
      <c r="U19" s="158">
        <v>0</v>
      </c>
      <c r="V19" s="158">
        <v>0</v>
      </c>
      <c r="W19" s="158">
        <v>0</v>
      </c>
      <c r="X19" s="158">
        <v>0</v>
      </c>
      <c r="Y19" s="158">
        <v>0</v>
      </c>
      <c r="Z19" s="158">
        <v>0</v>
      </c>
      <c r="AA19" s="432">
        <v>0</v>
      </c>
      <c r="AB19" s="432">
        <v>0</v>
      </c>
      <c r="AC19" s="432">
        <v>0</v>
      </c>
      <c r="AD19" s="432">
        <v>0</v>
      </c>
      <c r="AE19" s="432">
        <v>0</v>
      </c>
      <c r="AF19" s="432">
        <v>0</v>
      </c>
      <c r="AG19" s="432">
        <v>0</v>
      </c>
      <c r="AH19" s="432">
        <v>0</v>
      </c>
      <c r="AI19" s="158">
        <v>524920</v>
      </c>
      <c r="AJ19" s="158">
        <v>0</v>
      </c>
      <c r="AK19" s="158">
        <v>524920</v>
      </c>
      <c r="AL19" s="158">
        <v>524920</v>
      </c>
      <c r="AM19" s="158">
        <v>2592000</v>
      </c>
      <c r="AN19" s="158">
        <v>524920</v>
      </c>
      <c r="AO19" s="158">
        <v>524920</v>
      </c>
      <c r="AP19" s="158">
        <v>524000</v>
      </c>
      <c r="AQ19" s="432">
        <v>0</v>
      </c>
      <c r="AR19" s="432">
        <v>0</v>
      </c>
      <c r="AS19" s="432">
        <v>0</v>
      </c>
      <c r="AT19" s="432">
        <v>0</v>
      </c>
      <c r="AU19" s="432">
        <v>0</v>
      </c>
      <c r="AV19" s="432">
        <v>0</v>
      </c>
      <c r="AW19" s="432">
        <v>0</v>
      </c>
      <c r="AX19" s="432">
        <v>0</v>
      </c>
      <c r="AY19" s="158">
        <v>369600</v>
      </c>
      <c r="AZ19" s="158">
        <v>0</v>
      </c>
      <c r="BA19" s="158">
        <v>369600</v>
      </c>
      <c r="BB19" s="158">
        <v>369600</v>
      </c>
      <c r="BC19" s="158">
        <v>369600</v>
      </c>
      <c r="BD19" s="158">
        <v>369600</v>
      </c>
      <c r="BE19" s="158">
        <v>369600</v>
      </c>
      <c r="BF19" s="160">
        <v>369000</v>
      </c>
      <c r="BG19" s="383">
        <v>2023</v>
      </c>
      <c r="BH19" s="383">
        <v>1</v>
      </c>
      <c r="BI19" s="383">
        <v>19</v>
      </c>
      <c r="BK19" s="147" t="str">
        <f>IF(R19=SUM(Z19,AH19,AP19,AX19,BF19),"○","×")</f>
        <v>○</v>
      </c>
    </row>
    <row r="20" spans="1:63" x14ac:dyDescent="0.2">
      <c r="A20" s="428">
        <v>1020</v>
      </c>
      <c r="B20" s="429"/>
      <c r="C20" s="430"/>
      <c r="D20" s="429"/>
      <c r="E20" s="430"/>
      <c r="F20" s="429"/>
      <c r="G20" s="429"/>
      <c r="H20" s="430"/>
      <c r="I20" s="429"/>
      <c r="J20" s="429"/>
      <c r="K20" s="429"/>
      <c r="L20" s="383"/>
      <c r="M20" s="383" t="s">
        <v>366</v>
      </c>
      <c r="N20" s="383" t="s">
        <v>367</v>
      </c>
      <c r="O20" s="383" t="s">
        <v>368</v>
      </c>
      <c r="P20" s="383" t="s">
        <v>970</v>
      </c>
      <c r="Q20" s="383"/>
      <c r="R20" s="431">
        <v>686000</v>
      </c>
      <c r="S20" s="158">
        <v>523160</v>
      </c>
      <c r="T20" s="158">
        <v>0</v>
      </c>
      <c r="U20" s="158">
        <v>523160</v>
      </c>
      <c r="V20" s="158">
        <v>523160</v>
      </c>
      <c r="W20" s="158">
        <v>905000</v>
      </c>
      <c r="X20" s="158">
        <v>523160</v>
      </c>
      <c r="Y20" s="158">
        <v>523160</v>
      </c>
      <c r="Z20" s="158">
        <v>523000</v>
      </c>
      <c r="AA20" s="432">
        <v>0</v>
      </c>
      <c r="AB20" s="432">
        <v>0</v>
      </c>
      <c r="AC20" s="432">
        <v>0</v>
      </c>
      <c r="AD20" s="432">
        <v>0</v>
      </c>
      <c r="AE20" s="432">
        <v>0</v>
      </c>
      <c r="AF20" s="432">
        <v>0</v>
      </c>
      <c r="AG20" s="432">
        <v>0</v>
      </c>
      <c r="AH20" s="432">
        <v>0</v>
      </c>
      <c r="AI20" s="158">
        <v>163350</v>
      </c>
      <c r="AJ20" s="158">
        <v>0</v>
      </c>
      <c r="AK20" s="158">
        <v>163350</v>
      </c>
      <c r="AL20" s="158">
        <v>163350</v>
      </c>
      <c r="AM20" s="158">
        <v>1576800</v>
      </c>
      <c r="AN20" s="158">
        <v>163350</v>
      </c>
      <c r="AO20" s="158">
        <v>163350</v>
      </c>
      <c r="AP20" s="158">
        <v>163000</v>
      </c>
      <c r="AQ20" s="432">
        <v>0</v>
      </c>
      <c r="AR20" s="432">
        <v>0</v>
      </c>
      <c r="AS20" s="432">
        <v>0</v>
      </c>
      <c r="AT20" s="432">
        <v>0</v>
      </c>
      <c r="AU20" s="432">
        <v>0</v>
      </c>
      <c r="AV20" s="432">
        <v>0</v>
      </c>
      <c r="AW20" s="432">
        <v>0</v>
      </c>
      <c r="AX20" s="432">
        <v>0</v>
      </c>
      <c r="AY20" s="158">
        <v>0</v>
      </c>
      <c r="AZ20" s="158">
        <v>0</v>
      </c>
      <c r="BA20" s="158">
        <v>0</v>
      </c>
      <c r="BB20" s="158">
        <v>0</v>
      </c>
      <c r="BC20" s="158">
        <v>0</v>
      </c>
      <c r="BD20" s="158">
        <v>0</v>
      </c>
      <c r="BE20" s="158">
        <v>0</v>
      </c>
      <c r="BF20" s="160">
        <v>0</v>
      </c>
      <c r="BG20" s="383">
        <v>2023</v>
      </c>
      <c r="BH20" s="383">
        <v>1</v>
      </c>
      <c r="BI20" s="383">
        <v>19</v>
      </c>
      <c r="BK20" s="147" t="str">
        <f>IF(R20=SUM(Z20,AH20,AP20,AX20,BF20),"○","×")</f>
        <v>○</v>
      </c>
    </row>
    <row r="21" spans="1:63" x14ac:dyDescent="0.2">
      <c r="A21" s="428">
        <v>1022</v>
      </c>
      <c r="B21" s="429"/>
      <c r="C21" s="430"/>
      <c r="D21" s="429"/>
      <c r="E21" s="430"/>
      <c r="F21" s="429"/>
      <c r="G21" s="429"/>
      <c r="H21" s="430"/>
      <c r="I21" s="429"/>
      <c r="J21" s="429"/>
      <c r="K21" s="429"/>
      <c r="L21" s="383"/>
      <c r="M21" s="383" t="s">
        <v>369</v>
      </c>
      <c r="N21" s="383" t="s">
        <v>323</v>
      </c>
      <c r="O21" s="383" t="s">
        <v>370</v>
      </c>
      <c r="P21" s="383" t="s">
        <v>970</v>
      </c>
      <c r="Q21" s="383"/>
      <c r="R21" s="431">
        <v>463000</v>
      </c>
      <c r="S21" s="158">
        <v>0</v>
      </c>
      <c r="T21" s="158">
        <v>0</v>
      </c>
      <c r="U21" s="158">
        <v>0</v>
      </c>
      <c r="V21" s="158">
        <v>0</v>
      </c>
      <c r="W21" s="158">
        <v>0</v>
      </c>
      <c r="X21" s="158">
        <v>0</v>
      </c>
      <c r="Y21" s="158">
        <v>0</v>
      </c>
      <c r="Z21" s="158">
        <v>0</v>
      </c>
      <c r="AA21" s="432">
        <v>400920</v>
      </c>
      <c r="AB21" s="432">
        <v>0</v>
      </c>
      <c r="AC21" s="432">
        <v>400920</v>
      </c>
      <c r="AD21" s="432">
        <v>400920</v>
      </c>
      <c r="AE21" s="432">
        <v>410000</v>
      </c>
      <c r="AF21" s="432">
        <v>400000</v>
      </c>
      <c r="AG21" s="432">
        <v>400000</v>
      </c>
      <c r="AH21" s="432">
        <v>400000</v>
      </c>
      <c r="AI21" s="158">
        <v>63800</v>
      </c>
      <c r="AJ21" s="158">
        <v>0</v>
      </c>
      <c r="AK21" s="158">
        <v>63800</v>
      </c>
      <c r="AL21" s="158">
        <v>63800</v>
      </c>
      <c r="AM21" s="158">
        <v>1965600</v>
      </c>
      <c r="AN21" s="158">
        <v>63800</v>
      </c>
      <c r="AO21" s="158">
        <v>63800</v>
      </c>
      <c r="AP21" s="158">
        <v>63000</v>
      </c>
      <c r="AQ21" s="432">
        <v>0</v>
      </c>
      <c r="AR21" s="432">
        <v>0</v>
      </c>
      <c r="AS21" s="432">
        <v>0</v>
      </c>
      <c r="AT21" s="432">
        <v>0</v>
      </c>
      <c r="AU21" s="432">
        <v>0</v>
      </c>
      <c r="AV21" s="432">
        <v>0</v>
      </c>
      <c r="AW21" s="432">
        <v>0</v>
      </c>
      <c r="AX21" s="432">
        <v>0</v>
      </c>
      <c r="AY21" s="158">
        <v>0</v>
      </c>
      <c r="AZ21" s="158">
        <v>0</v>
      </c>
      <c r="BA21" s="158">
        <v>0</v>
      </c>
      <c r="BB21" s="158">
        <v>0</v>
      </c>
      <c r="BC21" s="158">
        <v>0</v>
      </c>
      <c r="BD21" s="158">
        <v>0</v>
      </c>
      <c r="BE21" s="158">
        <v>0</v>
      </c>
      <c r="BF21" s="160">
        <v>0</v>
      </c>
      <c r="BG21" s="383">
        <v>2023</v>
      </c>
      <c r="BH21" s="383">
        <v>1</v>
      </c>
      <c r="BI21" s="383">
        <v>19</v>
      </c>
      <c r="BK21" s="147" t="str">
        <f>IF(R21=SUM(Z21,AH21,AP21,AX21,BF21),"○","×")</f>
        <v>○</v>
      </c>
    </row>
    <row r="22" spans="1:63" x14ac:dyDescent="0.2">
      <c r="A22" s="428">
        <v>1023</v>
      </c>
      <c r="B22" s="429"/>
      <c r="C22" s="430"/>
      <c r="D22" s="429"/>
      <c r="E22" s="430"/>
      <c r="F22" s="429"/>
      <c r="G22" s="429"/>
      <c r="H22" s="430"/>
      <c r="I22" s="429"/>
      <c r="J22" s="429"/>
      <c r="K22" s="429"/>
      <c r="L22" s="383"/>
      <c r="M22" s="383" t="s">
        <v>371</v>
      </c>
      <c r="N22" s="383" t="s">
        <v>372</v>
      </c>
      <c r="O22" s="383" t="s">
        <v>373</v>
      </c>
      <c r="P22" s="383" t="s">
        <v>970</v>
      </c>
      <c r="Q22" s="383"/>
      <c r="R22" s="431">
        <v>5186000</v>
      </c>
      <c r="S22" s="158">
        <v>0</v>
      </c>
      <c r="T22" s="158">
        <v>0</v>
      </c>
      <c r="U22" s="158">
        <v>0</v>
      </c>
      <c r="V22" s="158">
        <v>0</v>
      </c>
      <c r="W22" s="158">
        <v>0</v>
      </c>
      <c r="X22" s="158">
        <v>0</v>
      </c>
      <c r="Y22" s="158">
        <v>0</v>
      </c>
      <c r="Z22" s="158">
        <v>0</v>
      </c>
      <c r="AA22" s="432">
        <v>1240800</v>
      </c>
      <c r="AB22" s="432">
        <v>0</v>
      </c>
      <c r="AC22" s="432">
        <v>1240800</v>
      </c>
      <c r="AD22" s="432">
        <v>1240800</v>
      </c>
      <c r="AE22" s="432">
        <v>1230000</v>
      </c>
      <c r="AF22" s="432">
        <v>1230000</v>
      </c>
      <c r="AG22" s="432">
        <v>1230000</v>
      </c>
      <c r="AH22" s="432">
        <v>1230000</v>
      </c>
      <c r="AI22" s="158">
        <v>3956428</v>
      </c>
      <c r="AJ22" s="158">
        <v>0</v>
      </c>
      <c r="AK22" s="158">
        <v>3956428</v>
      </c>
      <c r="AL22" s="158">
        <v>3956428</v>
      </c>
      <c r="AM22" s="158">
        <v>9241200</v>
      </c>
      <c r="AN22" s="158">
        <v>3956428</v>
      </c>
      <c r="AO22" s="158">
        <v>3956428</v>
      </c>
      <c r="AP22" s="158">
        <v>3956000</v>
      </c>
      <c r="AQ22" s="432">
        <v>0</v>
      </c>
      <c r="AR22" s="432">
        <v>0</v>
      </c>
      <c r="AS22" s="432">
        <v>0</v>
      </c>
      <c r="AT22" s="432">
        <v>0</v>
      </c>
      <c r="AU22" s="432">
        <v>0</v>
      </c>
      <c r="AV22" s="432">
        <v>0</v>
      </c>
      <c r="AW22" s="432">
        <v>0</v>
      </c>
      <c r="AX22" s="432">
        <v>0</v>
      </c>
      <c r="AY22" s="158">
        <v>0</v>
      </c>
      <c r="AZ22" s="158">
        <v>0</v>
      </c>
      <c r="BA22" s="158">
        <v>0</v>
      </c>
      <c r="BB22" s="158">
        <v>0</v>
      </c>
      <c r="BC22" s="158">
        <v>0</v>
      </c>
      <c r="BD22" s="158">
        <v>0</v>
      </c>
      <c r="BE22" s="158">
        <v>0</v>
      </c>
      <c r="BF22" s="160">
        <v>0</v>
      </c>
      <c r="BG22" s="383">
        <v>2023</v>
      </c>
      <c r="BH22" s="383">
        <v>1</v>
      </c>
      <c r="BI22" s="383">
        <v>19</v>
      </c>
      <c r="BK22" s="147" t="str">
        <f>IF(R22=SUM(Z22,AH22,AP22,AX22,BF22),"○","×")</f>
        <v>○</v>
      </c>
    </row>
    <row r="23" spans="1:63" x14ac:dyDescent="0.2">
      <c r="A23" s="428">
        <v>1024</v>
      </c>
      <c r="B23" s="429"/>
      <c r="C23" s="430"/>
      <c r="D23" s="429"/>
      <c r="E23" s="430"/>
      <c r="F23" s="429"/>
      <c r="G23" s="429"/>
      <c r="H23" s="430"/>
      <c r="I23" s="429"/>
      <c r="J23" s="429"/>
      <c r="K23" s="429"/>
      <c r="L23" s="383"/>
      <c r="M23" s="383" t="s">
        <v>374</v>
      </c>
      <c r="N23" s="383" t="s">
        <v>356</v>
      </c>
      <c r="O23" s="383" t="s">
        <v>375</v>
      </c>
      <c r="P23" s="383" t="s">
        <v>970</v>
      </c>
      <c r="Q23" s="383"/>
      <c r="R23" s="431">
        <v>4000</v>
      </c>
      <c r="S23" s="158">
        <v>0</v>
      </c>
      <c r="T23" s="158">
        <v>0</v>
      </c>
      <c r="U23" s="158">
        <v>0</v>
      </c>
      <c r="V23" s="158">
        <v>0</v>
      </c>
      <c r="W23" s="158">
        <v>0</v>
      </c>
      <c r="X23" s="158">
        <v>0</v>
      </c>
      <c r="Y23" s="158">
        <v>0</v>
      </c>
      <c r="Z23" s="158">
        <v>0</v>
      </c>
      <c r="AA23" s="432">
        <v>0</v>
      </c>
      <c r="AB23" s="432">
        <v>0</v>
      </c>
      <c r="AC23" s="432">
        <v>0</v>
      </c>
      <c r="AD23" s="432">
        <v>0</v>
      </c>
      <c r="AE23" s="432">
        <v>0</v>
      </c>
      <c r="AF23" s="432">
        <v>0</v>
      </c>
      <c r="AG23" s="432">
        <v>0</v>
      </c>
      <c r="AH23" s="432">
        <v>0</v>
      </c>
      <c r="AI23" s="158">
        <v>0</v>
      </c>
      <c r="AJ23" s="158">
        <v>0</v>
      </c>
      <c r="AK23" s="158">
        <v>0</v>
      </c>
      <c r="AL23" s="158">
        <v>0</v>
      </c>
      <c r="AM23" s="158">
        <v>0</v>
      </c>
      <c r="AN23" s="158">
        <v>0</v>
      </c>
      <c r="AO23" s="158">
        <v>0</v>
      </c>
      <c r="AP23" s="158">
        <v>0</v>
      </c>
      <c r="AQ23" s="432">
        <v>0</v>
      </c>
      <c r="AR23" s="432">
        <v>0</v>
      </c>
      <c r="AS23" s="432">
        <v>0</v>
      </c>
      <c r="AT23" s="432">
        <v>0</v>
      </c>
      <c r="AU23" s="432">
        <v>0</v>
      </c>
      <c r="AV23" s="432">
        <v>0</v>
      </c>
      <c r="AW23" s="432">
        <v>0</v>
      </c>
      <c r="AX23" s="432">
        <v>0</v>
      </c>
      <c r="AY23" s="158">
        <v>4999</v>
      </c>
      <c r="AZ23" s="158">
        <v>0</v>
      </c>
      <c r="BA23" s="158">
        <v>4999</v>
      </c>
      <c r="BB23" s="158">
        <v>4999</v>
      </c>
      <c r="BC23" s="158">
        <v>4999</v>
      </c>
      <c r="BD23" s="158">
        <v>4999</v>
      </c>
      <c r="BE23" s="158">
        <v>4999</v>
      </c>
      <c r="BF23" s="160">
        <v>4000</v>
      </c>
      <c r="BG23" s="383">
        <v>2023</v>
      </c>
      <c r="BH23" s="383">
        <v>1</v>
      </c>
      <c r="BI23" s="383">
        <v>19</v>
      </c>
      <c r="BK23" s="147" t="str">
        <f>IF(R23=SUM(Z23,AH23,AP23,AX23,BF23),"○","×")</f>
        <v>○</v>
      </c>
    </row>
    <row r="24" spans="1:63" x14ac:dyDescent="0.2">
      <c r="A24" s="428">
        <v>1025</v>
      </c>
      <c r="B24" s="429"/>
      <c r="C24" s="430"/>
      <c r="D24" s="429"/>
      <c r="E24" s="430"/>
      <c r="F24" s="429"/>
      <c r="G24" s="429"/>
      <c r="H24" s="430"/>
      <c r="I24" s="429"/>
      <c r="J24" s="429"/>
      <c r="K24" s="429"/>
      <c r="L24" s="383"/>
      <c r="M24" s="383" t="s">
        <v>376</v>
      </c>
      <c r="N24" s="383" t="s">
        <v>377</v>
      </c>
      <c r="O24" s="383" t="s">
        <v>378</v>
      </c>
      <c r="P24" s="383" t="s">
        <v>970</v>
      </c>
      <c r="Q24" s="383"/>
      <c r="R24" s="431">
        <v>1518000</v>
      </c>
      <c r="S24" s="158">
        <v>0</v>
      </c>
      <c r="T24" s="158">
        <v>0</v>
      </c>
      <c r="U24" s="158">
        <v>0</v>
      </c>
      <c r="V24" s="158">
        <v>0</v>
      </c>
      <c r="W24" s="158">
        <v>0</v>
      </c>
      <c r="X24" s="158">
        <v>0</v>
      </c>
      <c r="Y24" s="158">
        <v>0</v>
      </c>
      <c r="Z24" s="158">
        <v>0</v>
      </c>
      <c r="AA24" s="432">
        <v>1518000</v>
      </c>
      <c r="AB24" s="432">
        <v>0</v>
      </c>
      <c r="AC24" s="432">
        <v>1518000</v>
      </c>
      <c r="AD24" s="432">
        <v>1518000</v>
      </c>
      <c r="AE24" s="432">
        <v>1640000</v>
      </c>
      <c r="AF24" s="432">
        <v>1518000</v>
      </c>
      <c r="AG24" s="432">
        <v>1518000</v>
      </c>
      <c r="AH24" s="432">
        <v>1518000</v>
      </c>
      <c r="AI24" s="158">
        <v>0</v>
      </c>
      <c r="AJ24" s="158">
        <v>0</v>
      </c>
      <c r="AK24" s="158">
        <v>0</v>
      </c>
      <c r="AL24" s="158">
        <v>0</v>
      </c>
      <c r="AM24" s="158">
        <v>0</v>
      </c>
      <c r="AN24" s="158">
        <v>0</v>
      </c>
      <c r="AO24" s="158">
        <v>0</v>
      </c>
      <c r="AP24" s="158">
        <v>0</v>
      </c>
      <c r="AQ24" s="432">
        <v>0</v>
      </c>
      <c r="AR24" s="432">
        <v>0</v>
      </c>
      <c r="AS24" s="432">
        <v>0</v>
      </c>
      <c r="AT24" s="432">
        <v>0</v>
      </c>
      <c r="AU24" s="432">
        <v>0</v>
      </c>
      <c r="AV24" s="432">
        <v>0</v>
      </c>
      <c r="AW24" s="432">
        <v>0</v>
      </c>
      <c r="AX24" s="432">
        <v>0</v>
      </c>
      <c r="AY24" s="158">
        <v>0</v>
      </c>
      <c r="AZ24" s="158">
        <v>0</v>
      </c>
      <c r="BA24" s="158">
        <v>0</v>
      </c>
      <c r="BB24" s="158">
        <v>0</v>
      </c>
      <c r="BC24" s="158">
        <v>0</v>
      </c>
      <c r="BD24" s="158">
        <v>0</v>
      </c>
      <c r="BE24" s="158">
        <v>0</v>
      </c>
      <c r="BF24" s="160">
        <v>0</v>
      </c>
      <c r="BG24" s="383">
        <v>2023</v>
      </c>
      <c r="BH24" s="383">
        <v>1</v>
      </c>
      <c r="BI24" s="383">
        <v>19</v>
      </c>
      <c r="BK24" s="147" t="str">
        <f>IF(R24=SUM(Z24,AH24,AP24,AX24,BF24),"○","×")</f>
        <v>○</v>
      </c>
    </row>
    <row r="25" spans="1:63" s="152" customFormat="1" x14ac:dyDescent="0.2">
      <c r="A25" s="428">
        <v>1026</v>
      </c>
      <c r="B25" s="429"/>
      <c r="C25" s="430"/>
      <c r="D25" s="429"/>
      <c r="E25" s="430"/>
      <c r="F25" s="429"/>
      <c r="G25" s="429"/>
      <c r="H25" s="430"/>
      <c r="I25" s="429"/>
      <c r="J25" s="429"/>
      <c r="K25" s="429"/>
      <c r="L25" s="383"/>
      <c r="M25" s="383" t="s">
        <v>379</v>
      </c>
      <c r="N25" s="383" t="s">
        <v>323</v>
      </c>
      <c r="O25" s="383" t="s">
        <v>380</v>
      </c>
      <c r="P25" s="383" t="s">
        <v>970</v>
      </c>
      <c r="Q25" s="146"/>
      <c r="R25" s="431">
        <v>2118000</v>
      </c>
      <c r="S25" s="158">
        <v>0</v>
      </c>
      <c r="T25" s="158">
        <v>0</v>
      </c>
      <c r="U25" s="158">
        <v>0</v>
      </c>
      <c r="V25" s="158">
        <v>0</v>
      </c>
      <c r="W25" s="158">
        <v>0</v>
      </c>
      <c r="X25" s="158">
        <v>0</v>
      </c>
      <c r="Y25" s="158">
        <v>0</v>
      </c>
      <c r="Z25" s="158">
        <v>0</v>
      </c>
      <c r="AA25" s="432">
        <v>156200</v>
      </c>
      <c r="AB25" s="432">
        <v>0</v>
      </c>
      <c r="AC25" s="432">
        <v>156200</v>
      </c>
      <c r="AD25" s="432">
        <v>156200</v>
      </c>
      <c r="AE25" s="432">
        <v>205000</v>
      </c>
      <c r="AF25" s="432">
        <v>156200</v>
      </c>
      <c r="AG25" s="432">
        <v>156200</v>
      </c>
      <c r="AH25" s="432">
        <v>156000</v>
      </c>
      <c r="AI25" s="158">
        <v>1962996</v>
      </c>
      <c r="AJ25" s="158">
        <v>0</v>
      </c>
      <c r="AK25" s="158">
        <v>1962996</v>
      </c>
      <c r="AL25" s="158">
        <v>1962996</v>
      </c>
      <c r="AM25" s="158">
        <v>1965600</v>
      </c>
      <c r="AN25" s="158">
        <v>1962996</v>
      </c>
      <c r="AO25" s="158">
        <v>1962996</v>
      </c>
      <c r="AP25" s="158">
        <v>1962000</v>
      </c>
      <c r="AQ25" s="432">
        <v>0</v>
      </c>
      <c r="AR25" s="432">
        <v>0</v>
      </c>
      <c r="AS25" s="432">
        <v>0</v>
      </c>
      <c r="AT25" s="432">
        <v>0</v>
      </c>
      <c r="AU25" s="432">
        <v>0</v>
      </c>
      <c r="AV25" s="432">
        <v>0</v>
      </c>
      <c r="AW25" s="432">
        <v>0</v>
      </c>
      <c r="AX25" s="432">
        <v>0</v>
      </c>
      <c r="AY25" s="158">
        <v>0</v>
      </c>
      <c r="AZ25" s="158">
        <v>0</v>
      </c>
      <c r="BA25" s="158">
        <v>0</v>
      </c>
      <c r="BB25" s="158">
        <v>0</v>
      </c>
      <c r="BC25" s="158">
        <v>0</v>
      </c>
      <c r="BD25" s="158">
        <v>0</v>
      </c>
      <c r="BE25" s="158">
        <v>0</v>
      </c>
      <c r="BF25" s="160">
        <v>0</v>
      </c>
      <c r="BG25" s="383">
        <v>2023</v>
      </c>
      <c r="BH25" s="383">
        <v>1</v>
      </c>
      <c r="BI25" s="383">
        <v>19</v>
      </c>
      <c r="BK25" s="147" t="str">
        <f>IF(R25=SUM(Z25,AH25,AP25,AX25,BF25),"○","×")</f>
        <v>○</v>
      </c>
    </row>
    <row r="26" spans="1:63" x14ac:dyDescent="0.2">
      <c r="A26" s="428">
        <v>1027</v>
      </c>
      <c r="B26" s="429"/>
      <c r="C26" s="430"/>
      <c r="D26" s="429"/>
      <c r="E26" s="430"/>
      <c r="F26" s="429"/>
      <c r="G26" s="429"/>
      <c r="H26" s="430"/>
      <c r="I26" s="429"/>
      <c r="J26" s="429"/>
      <c r="K26" s="429"/>
      <c r="L26" s="383"/>
      <c r="M26" s="383" t="s">
        <v>381</v>
      </c>
      <c r="N26" s="383" t="s">
        <v>323</v>
      </c>
      <c r="O26" s="383" t="s">
        <v>382</v>
      </c>
      <c r="P26" s="383" t="s">
        <v>970</v>
      </c>
      <c r="Q26" s="383"/>
      <c r="R26" s="431">
        <v>268000</v>
      </c>
      <c r="S26" s="158">
        <v>0</v>
      </c>
      <c r="T26" s="158">
        <v>0</v>
      </c>
      <c r="U26" s="158">
        <v>0</v>
      </c>
      <c r="V26" s="158">
        <v>0</v>
      </c>
      <c r="W26" s="158">
        <v>0</v>
      </c>
      <c r="X26" s="158">
        <v>0</v>
      </c>
      <c r="Y26" s="158">
        <v>0</v>
      </c>
      <c r="Z26" s="158">
        <v>0</v>
      </c>
      <c r="AA26" s="432">
        <v>0</v>
      </c>
      <c r="AB26" s="432">
        <v>0</v>
      </c>
      <c r="AC26" s="432">
        <v>0</v>
      </c>
      <c r="AD26" s="432">
        <v>0</v>
      </c>
      <c r="AE26" s="432">
        <v>0</v>
      </c>
      <c r="AF26" s="432">
        <v>0</v>
      </c>
      <c r="AG26" s="432">
        <v>0</v>
      </c>
      <c r="AH26" s="432">
        <v>0</v>
      </c>
      <c r="AI26" s="158">
        <v>182380</v>
      </c>
      <c r="AJ26" s="158">
        <v>0</v>
      </c>
      <c r="AK26" s="158">
        <v>182380</v>
      </c>
      <c r="AL26" s="158">
        <v>182380</v>
      </c>
      <c r="AM26" s="158">
        <v>1540800</v>
      </c>
      <c r="AN26" s="158">
        <v>182380</v>
      </c>
      <c r="AO26" s="158">
        <v>182380</v>
      </c>
      <c r="AP26" s="158">
        <v>182000</v>
      </c>
      <c r="AQ26" s="432">
        <v>0</v>
      </c>
      <c r="AR26" s="432">
        <v>0</v>
      </c>
      <c r="AS26" s="432">
        <v>0</v>
      </c>
      <c r="AT26" s="432">
        <v>0</v>
      </c>
      <c r="AU26" s="432">
        <v>0</v>
      </c>
      <c r="AV26" s="432">
        <v>0</v>
      </c>
      <c r="AW26" s="432">
        <v>0</v>
      </c>
      <c r="AX26" s="432">
        <v>0</v>
      </c>
      <c r="AY26" s="158">
        <v>86608</v>
      </c>
      <c r="AZ26" s="158">
        <v>0</v>
      </c>
      <c r="BA26" s="158">
        <v>86608</v>
      </c>
      <c r="BB26" s="158">
        <v>86608</v>
      </c>
      <c r="BC26" s="158">
        <v>86608</v>
      </c>
      <c r="BD26" s="158">
        <v>86608</v>
      </c>
      <c r="BE26" s="158">
        <v>86608</v>
      </c>
      <c r="BF26" s="160">
        <v>86000</v>
      </c>
      <c r="BG26" s="383">
        <v>2023</v>
      </c>
      <c r="BH26" s="383">
        <v>1</v>
      </c>
      <c r="BI26" s="383">
        <v>19</v>
      </c>
      <c r="BK26" s="147" t="str">
        <f>IF(R26=SUM(Z26,AH26,AP26,AX26,BF26),"○","×")</f>
        <v>○</v>
      </c>
    </row>
    <row r="27" spans="1:63" x14ac:dyDescent="0.2">
      <c r="A27" s="428">
        <v>1028</v>
      </c>
      <c r="B27" s="429"/>
      <c r="C27" s="430"/>
      <c r="D27" s="429"/>
      <c r="E27" s="430"/>
      <c r="F27" s="429"/>
      <c r="G27" s="429"/>
      <c r="H27" s="430"/>
      <c r="I27" s="429"/>
      <c r="J27" s="429"/>
      <c r="K27" s="429"/>
      <c r="L27" s="383"/>
      <c r="M27" s="383" t="s">
        <v>383</v>
      </c>
      <c r="N27" s="383" t="s">
        <v>384</v>
      </c>
      <c r="O27" s="383" t="s">
        <v>385</v>
      </c>
      <c r="P27" s="383" t="s">
        <v>970</v>
      </c>
      <c r="Q27" s="383"/>
      <c r="R27" s="431">
        <v>1420000</v>
      </c>
      <c r="S27" s="158">
        <v>0</v>
      </c>
      <c r="T27" s="158">
        <v>0</v>
      </c>
      <c r="U27" s="158">
        <v>0</v>
      </c>
      <c r="V27" s="158">
        <v>0</v>
      </c>
      <c r="W27" s="158">
        <v>0</v>
      </c>
      <c r="X27" s="158">
        <v>0</v>
      </c>
      <c r="Y27" s="158">
        <v>0</v>
      </c>
      <c r="Z27" s="158">
        <v>0</v>
      </c>
      <c r="AA27" s="432">
        <v>0</v>
      </c>
      <c r="AB27" s="432">
        <v>0</v>
      </c>
      <c r="AC27" s="432">
        <v>0</v>
      </c>
      <c r="AD27" s="432">
        <v>0</v>
      </c>
      <c r="AE27" s="432">
        <v>0</v>
      </c>
      <c r="AF27" s="432">
        <v>0</v>
      </c>
      <c r="AG27" s="432">
        <v>0</v>
      </c>
      <c r="AH27" s="432">
        <v>0</v>
      </c>
      <c r="AI27" s="158">
        <v>1420404</v>
      </c>
      <c r="AJ27" s="158">
        <v>0</v>
      </c>
      <c r="AK27" s="158">
        <v>1420404</v>
      </c>
      <c r="AL27" s="158">
        <v>1420404</v>
      </c>
      <c r="AM27" s="158">
        <v>12700800</v>
      </c>
      <c r="AN27" s="158">
        <v>1420404</v>
      </c>
      <c r="AO27" s="158">
        <v>1420404</v>
      </c>
      <c r="AP27" s="158">
        <v>1420000</v>
      </c>
      <c r="AQ27" s="432">
        <v>0</v>
      </c>
      <c r="AR27" s="432">
        <v>0</v>
      </c>
      <c r="AS27" s="432">
        <v>0</v>
      </c>
      <c r="AT27" s="432">
        <v>0</v>
      </c>
      <c r="AU27" s="432">
        <v>0</v>
      </c>
      <c r="AV27" s="432">
        <v>0</v>
      </c>
      <c r="AW27" s="432">
        <v>0</v>
      </c>
      <c r="AX27" s="432">
        <v>0</v>
      </c>
      <c r="AY27" s="158">
        <v>0</v>
      </c>
      <c r="AZ27" s="158">
        <v>0</v>
      </c>
      <c r="BA27" s="158">
        <v>0</v>
      </c>
      <c r="BB27" s="158">
        <v>0</v>
      </c>
      <c r="BC27" s="158">
        <v>0</v>
      </c>
      <c r="BD27" s="158">
        <v>0</v>
      </c>
      <c r="BE27" s="158">
        <v>0</v>
      </c>
      <c r="BF27" s="160">
        <v>0</v>
      </c>
      <c r="BG27" s="383">
        <v>2023</v>
      </c>
      <c r="BH27" s="383">
        <v>1</v>
      </c>
      <c r="BI27" s="383">
        <v>19</v>
      </c>
      <c r="BK27" s="147" t="str">
        <f>IF(R27=SUM(Z27,AH27,AP27,AX27,BF27),"○","×")</f>
        <v>○</v>
      </c>
    </row>
    <row r="28" spans="1:63" x14ac:dyDescent="0.2">
      <c r="A28" s="428">
        <v>1030</v>
      </c>
      <c r="B28" s="429"/>
      <c r="C28" s="430"/>
      <c r="D28" s="429"/>
      <c r="E28" s="430"/>
      <c r="F28" s="429"/>
      <c r="G28" s="429"/>
      <c r="H28" s="430"/>
      <c r="I28" s="429"/>
      <c r="J28" s="429"/>
      <c r="K28" s="429"/>
      <c r="L28" s="383"/>
      <c r="M28" s="383" t="s">
        <v>386</v>
      </c>
      <c r="N28" s="383" t="s">
        <v>329</v>
      </c>
      <c r="O28" s="383" t="s">
        <v>387</v>
      </c>
      <c r="P28" s="383" t="s">
        <v>970</v>
      </c>
      <c r="Q28" s="383"/>
      <c r="R28" s="431">
        <v>706000</v>
      </c>
      <c r="S28" s="158">
        <v>0</v>
      </c>
      <c r="T28" s="158">
        <v>0</v>
      </c>
      <c r="U28" s="158">
        <v>0</v>
      </c>
      <c r="V28" s="158">
        <v>0</v>
      </c>
      <c r="W28" s="158">
        <v>0</v>
      </c>
      <c r="X28" s="158">
        <v>0</v>
      </c>
      <c r="Y28" s="158">
        <v>0</v>
      </c>
      <c r="Z28" s="158">
        <v>0</v>
      </c>
      <c r="AA28" s="432">
        <v>203500</v>
      </c>
      <c r="AB28" s="432">
        <v>0</v>
      </c>
      <c r="AC28" s="432">
        <v>203500</v>
      </c>
      <c r="AD28" s="432">
        <v>203500</v>
      </c>
      <c r="AE28" s="432">
        <v>205000</v>
      </c>
      <c r="AF28" s="432">
        <v>203500</v>
      </c>
      <c r="AG28" s="432">
        <v>203500</v>
      </c>
      <c r="AH28" s="432">
        <v>203000</v>
      </c>
      <c r="AI28" s="158">
        <v>201520</v>
      </c>
      <c r="AJ28" s="158">
        <v>0</v>
      </c>
      <c r="AK28" s="158">
        <v>201520</v>
      </c>
      <c r="AL28" s="158">
        <v>201520</v>
      </c>
      <c r="AM28" s="158">
        <v>1771200</v>
      </c>
      <c r="AN28" s="158">
        <v>201520</v>
      </c>
      <c r="AO28" s="158">
        <v>201520</v>
      </c>
      <c r="AP28" s="158">
        <v>201000</v>
      </c>
      <c r="AQ28" s="432">
        <v>0</v>
      </c>
      <c r="AR28" s="432">
        <v>0</v>
      </c>
      <c r="AS28" s="432">
        <v>0</v>
      </c>
      <c r="AT28" s="432">
        <v>0</v>
      </c>
      <c r="AU28" s="432">
        <v>0</v>
      </c>
      <c r="AV28" s="432">
        <v>0</v>
      </c>
      <c r="AW28" s="432">
        <v>0</v>
      </c>
      <c r="AX28" s="432">
        <v>0</v>
      </c>
      <c r="AY28" s="158">
        <v>302940</v>
      </c>
      <c r="AZ28" s="158">
        <v>0</v>
      </c>
      <c r="BA28" s="158">
        <v>302940</v>
      </c>
      <c r="BB28" s="158">
        <v>302940</v>
      </c>
      <c r="BC28" s="158">
        <v>302940</v>
      </c>
      <c r="BD28" s="158">
        <v>302940</v>
      </c>
      <c r="BE28" s="158">
        <v>302940</v>
      </c>
      <c r="BF28" s="160">
        <v>302000</v>
      </c>
      <c r="BG28" s="383">
        <v>2023</v>
      </c>
      <c r="BH28" s="383">
        <v>1</v>
      </c>
      <c r="BI28" s="383">
        <v>19</v>
      </c>
      <c r="BK28" s="147" t="str">
        <f>IF(R28=SUM(Z28,AH28,AP28,AX28,BF28),"○","×")</f>
        <v>○</v>
      </c>
    </row>
    <row r="29" spans="1:63" x14ac:dyDescent="0.2">
      <c r="A29" s="428">
        <v>1032</v>
      </c>
      <c r="B29" s="429"/>
      <c r="C29" s="430"/>
      <c r="D29" s="429"/>
      <c r="E29" s="430"/>
      <c r="F29" s="429"/>
      <c r="G29" s="429"/>
      <c r="H29" s="430"/>
      <c r="I29" s="429"/>
      <c r="J29" s="429"/>
      <c r="K29" s="429"/>
      <c r="L29" s="383"/>
      <c r="M29" s="383" t="s">
        <v>388</v>
      </c>
      <c r="N29" s="383" t="s">
        <v>353</v>
      </c>
      <c r="O29" s="383" t="s">
        <v>389</v>
      </c>
      <c r="P29" s="383" t="s">
        <v>970</v>
      </c>
      <c r="Q29" s="383"/>
      <c r="R29" s="431">
        <v>836000</v>
      </c>
      <c r="S29" s="158">
        <v>0</v>
      </c>
      <c r="T29" s="158">
        <v>0</v>
      </c>
      <c r="U29" s="158">
        <v>0</v>
      </c>
      <c r="V29" s="158">
        <v>0</v>
      </c>
      <c r="W29" s="158">
        <v>0</v>
      </c>
      <c r="X29" s="158">
        <v>0</v>
      </c>
      <c r="Y29" s="158">
        <v>0</v>
      </c>
      <c r="Z29" s="158">
        <v>0</v>
      </c>
      <c r="AA29" s="432">
        <v>374000</v>
      </c>
      <c r="AB29" s="432">
        <v>0</v>
      </c>
      <c r="AC29" s="432">
        <v>374000</v>
      </c>
      <c r="AD29" s="432">
        <v>374000</v>
      </c>
      <c r="AE29" s="432">
        <v>410000</v>
      </c>
      <c r="AF29" s="432">
        <v>374000</v>
      </c>
      <c r="AG29" s="432">
        <v>374000</v>
      </c>
      <c r="AH29" s="432">
        <v>374000</v>
      </c>
      <c r="AI29" s="158">
        <v>462132</v>
      </c>
      <c r="AJ29" s="158">
        <v>0</v>
      </c>
      <c r="AK29" s="158">
        <v>462132</v>
      </c>
      <c r="AL29" s="158">
        <v>462132</v>
      </c>
      <c r="AM29" s="158">
        <v>12528000</v>
      </c>
      <c r="AN29" s="158">
        <v>462132</v>
      </c>
      <c r="AO29" s="158">
        <v>462132</v>
      </c>
      <c r="AP29" s="158">
        <v>462000</v>
      </c>
      <c r="AQ29" s="432">
        <v>0</v>
      </c>
      <c r="AR29" s="432">
        <v>0</v>
      </c>
      <c r="AS29" s="432">
        <v>0</v>
      </c>
      <c r="AT29" s="432">
        <v>0</v>
      </c>
      <c r="AU29" s="432">
        <v>0</v>
      </c>
      <c r="AV29" s="432">
        <v>0</v>
      </c>
      <c r="AW29" s="432">
        <v>0</v>
      </c>
      <c r="AX29" s="432">
        <v>0</v>
      </c>
      <c r="AY29" s="158">
        <v>0</v>
      </c>
      <c r="AZ29" s="158">
        <v>0</v>
      </c>
      <c r="BA29" s="158">
        <v>0</v>
      </c>
      <c r="BB29" s="158">
        <v>0</v>
      </c>
      <c r="BC29" s="158">
        <v>0</v>
      </c>
      <c r="BD29" s="158">
        <v>0</v>
      </c>
      <c r="BE29" s="158">
        <v>0</v>
      </c>
      <c r="BF29" s="160">
        <v>0</v>
      </c>
      <c r="BG29" s="383">
        <v>2023</v>
      </c>
      <c r="BH29" s="383">
        <v>1</v>
      </c>
      <c r="BI29" s="383">
        <v>19</v>
      </c>
      <c r="BK29" s="147" t="str">
        <f>IF(R29=SUM(Z29,AH29,AP29,AX29,BF29),"○","×")</f>
        <v>○</v>
      </c>
    </row>
    <row r="30" spans="1:63" x14ac:dyDescent="0.2">
      <c r="A30" s="428">
        <v>1033</v>
      </c>
      <c r="B30" s="429"/>
      <c r="C30" s="430"/>
      <c r="D30" s="429"/>
      <c r="E30" s="430"/>
      <c r="F30" s="429"/>
      <c r="G30" s="429"/>
      <c r="H30" s="430"/>
      <c r="I30" s="429"/>
      <c r="J30" s="429"/>
      <c r="K30" s="429"/>
      <c r="L30" s="383"/>
      <c r="M30" s="383" t="s">
        <v>390</v>
      </c>
      <c r="N30" s="383" t="s">
        <v>360</v>
      </c>
      <c r="O30" s="383" t="s">
        <v>391</v>
      </c>
      <c r="P30" s="383" t="s">
        <v>970</v>
      </c>
      <c r="Q30" s="383"/>
      <c r="R30" s="431">
        <v>1320000</v>
      </c>
      <c r="S30" s="158">
        <v>0</v>
      </c>
      <c r="T30" s="158">
        <v>0</v>
      </c>
      <c r="U30" s="158">
        <v>0</v>
      </c>
      <c r="V30" s="158">
        <v>0</v>
      </c>
      <c r="W30" s="158">
        <v>0</v>
      </c>
      <c r="X30" s="158">
        <v>0</v>
      </c>
      <c r="Y30" s="158">
        <v>0</v>
      </c>
      <c r="Z30" s="158">
        <v>0</v>
      </c>
      <c r="AA30" s="432">
        <v>0</v>
      </c>
      <c r="AB30" s="432">
        <v>0</v>
      </c>
      <c r="AC30" s="432">
        <v>0</v>
      </c>
      <c r="AD30" s="432">
        <v>0</v>
      </c>
      <c r="AE30" s="432">
        <v>0</v>
      </c>
      <c r="AF30" s="432">
        <v>0</v>
      </c>
      <c r="AG30" s="432">
        <v>0</v>
      </c>
      <c r="AH30" s="432">
        <v>0</v>
      </c>
      <c r="AI30" s="158">
        <v>0</v>
      </c>
      <c r="AJ30" s="158">
        <v>0</v>
      </c>
      <c r="AK30" s="158">
        <v>0</v>
      </c>
      <c r="AL30" s="158">
        <v>0</v>
      </c>
      <c r="AM30" s="158">
        <v>0</v>
      </c>
      <c r="AN30" s="158">
        <v>0</v>
      </c>
      <c r="AO30" s="158">
        <v>0</v>
      </c>
      <c r="AP30" s="158">
        <v>0</v>
      </c>
      <c r="AQ30" s="432">
        <v>0</v>
      </c>
      <c r="AR30" s="432">
        <v>0</v>
      </c>
      <c r="AS30" s="432">
        <v>0</v>
      </c>
      <c r="AT30" s="432">
        <v>0</v>
      </c>
      <c r="AU30" s="432">
        <v>0</v>
      </c>
      <c r="AV30" s="432">
        <v>0</v>
      </c>
      <c r="AW30" s="432">
        <v>0</v>
      </c>
      <c r="AX30" s="432">
        <v>0</v>
      </c>
      <c r="AY30" s="158">
        <v>1320000</v>
      </c>
      <c r="AZ30" s="158">
        <v>0</v>
      </c>
      <c r="BA30" s="158">
        <v>1320000</v>
      </c>
      <c r="BB30" s="158">
        <v>1320000</v>
      </c>
      <c r="BC30" s="158">
        <v>1320000</v>
      </c>
      <c r="BD30" s="158">
        <v>1320000</v>
      </c>
      <c r="BE30" s="158">
        <v>1320000</v>
      </c>
      <c r="BF30" s="160">
        <v>1320000</v>
      </c>
      <c r="BG30" s="383">
        <v>2023</v>
      </c>
      <c r="BH30" s="383">
        <v>1</v>
      </c>
      <c r="BI30" s="383">
        <v>19</v>
      </c>
      <c r="BK30" s="147" t="str">
        <f>IF(R30=SUM(Z30,AH30,AP30,AX30,BF30),"○","×")</f>
        <v>○</v>
      </c>
    </row>
    <row r="31" spans="1:63" x14ac:dyDescent="0.2">
      <c r="A31" s="428">
        <v>1035</v>
      </c>
      <c r="B31" s="429"/>
      <c r="C31" s="430"/>
      <c r="D31" s="429"/>
      <c r="E31" s="430"/>
      <c r="F31" s="429"/>
      <c r="G31" s="429"/>
      <c r="H31" s="430"/>
      <c r="I31" s="429"/>
      <c r="J31" s="429"/>
      <c r="K31" s="429"/>
      <c r="L31" s="383"/>
      <c r="M31" s="383" t="s">
        <v>392</v>
      </c>
      <c r="N31" s="383" t="s">
        <v>343</v>
      </c>
      <c r="O31" s="383" t="s">
        <v>393</v>
      </c>
      <c r="P31" s="383" t="s">
        <v>970</v>
      </c>
      <c r="Q31" s="383"/>
      <c r="R31" s="431">
        <v>1478000</v>
      </c>
      <c r="S31" s="158">
        <v>0</v>
      </c>
      <c r="T31" s="158">
        <v>0</v>
      </c>
      <c r="U31" s="158">
        <v>0</v>
      </c>
      <c r="V31" s="158">
        <v>0</v>
      </c>
      <c r="W31" s="158">
        <v>0</v>
      </c>
      <c r="X31" s="158">
        <v>0</v>
      </c>
      <c r="Y31" s="158">
        <v>0</v>
      </c>
      <c r="Z31" s="158">
        <v>0</v>
      </c>
      <c r="AA31" s="432">
        <v>0</v>
      </c>
      <c r="AB31" s="432">
        <v>0</v>
      </c>
      <c r="AC31" s="432">
        <v>0</v>
      </c>
      <c r="AD31" s="432">
        <v>0</v>
      </c>
      <c r="AE31" s="432">
        <v>0</v>
      </c>
      <c r="AF31" s="432">
        <v>0</v>
      </c>
      <c r="AG31" s="432">
        <v>0</v>
      </c>
      <c r="AH31" s="432">
        <v>0</v>
      </c>
      <c r="AI31" s="158">
        <v>825088</v>
      </c>
      <c r="AJ31" s="158">
        <v>0</v>
      </c>
      <c r="AK31" s="158">
        <v>825088</v>
      </c>
      <c r="AL31" s="158">
        <v>825088</v>
      </c>
      <c r="AM31" s="158">
        <v>5241600</v>
      </c>
      <c r="AN31" s="158">
        <v>825088</v>
      </c>
      <c r="AO31" s="158">
        <v>825088</v>
      </c>
      <c r="AP31" s="158">
        <v>825000</v>
      </c>
      <c r="AQ31" s="432">
        <v>0</v>
      </c>
      <c r="AR31" s="432">
        <v>0</v>
      </c>
      <c r="AS31" s="432">
        <v>0</v>
      </c>
      <c r="AT31" s="432">
        <v>0</v>
      </c>
      <c r="AU31" s="432">
        <v>0</v>
      </c>
      <c r="AV31" s="432">
        <v>0</v>
      </c>
      <c r="AW31" s="432">
        <v>0</v>
      </c>
      <c r="AX31" s="432">
        <v>0</v>
      </c>
      <c r="AY31" s="158">
        <v>653400</v>
      </c>
      <c r="AZ31" s="158">
        <v>0</v>
      </c>
      <c r="BA31" s="158">
        <v>653400</v>
      </c>
      <c r="BB31" s="158">
        <v>653400</v>
      </c>
      <c r="BC31" s="158">
        <v>653400</v>
      </c>
      <c r="BD31" s="158">
        <v>653400</v>
      </c>
      <c r="BE31" s="158">
        <v>653400</v>
      </c>
      <c r="BF31" s="160">
        <v>653000</v>
      </c>
      <c r="BG31" s="383">
        <v>2023</v>
      </c>
      <c r="BH31" s="383">
        <v>1</v>
      </c>
      <c r="BI31" s="383">
        <v>19</v>
      </c>
      <c r="BK31" s="147" t="str">
        <f>IF(R31=SUM(Z31,AH31,AP31,AX31,BF31),"○","×")</f>
        <v>○</v>
      </c>
    </row>
    <row r="32" spans="1:63" x14ac:dyDescent="0.2">
      <c r="A32" s="428">
        <v>1036</v>
      </c>
      <c r="B32" s="429"/>
      <c r="C32" s="430"/>
      <c r="D32" s="429"/>
      <c r="E32" s="430"/>
      <c r="F32" s="429"/>
      <c r="G32" s="429"/>
      <c r="H32" s="430"/>
      <c r="I32" s="429"/>
      <c r="J32" s="429"/>
      <c r="K32" s="429"/>
      <c r="L32" s="383"/>
      <c r="M32" s="383" t="s">
        <v>394</v>
      </c>
      <c r="N32" s="383" t="s">
        <v>367</v>
      </c>
      <c r="O32" s="383" t="s">
        <v>395</v>
      </c>
      <c r="P32" s="383" t="s">
        <v>970</v>
      </c>
      <c r="Q32" s="383"/>
      <c r="R32" s="431">
        <v>128000</v>
      </c>
      <c r="S32" s="158">
        <v>0</v>
      </c>
      <c r="T32" s="158">
        <v>0</v>
      </c>
      <c r="U32" s="158">
        <v>0</v>
      </c>
      <c r="V32" s="158">
        <v>0</v>
      </c>
      <c r="W32" s="158">
        <v>0</v>
      </c>
      <c r="X32" s="158">
        <v>0</v>
      </c>
      <c r="Y32" s="158">
        <v>0</v>
      </c>
      <c r="Z32" s="158">
        <v>0</v>
      </c>
      <c r="AA32" s="432">
        <v>0</v>
      </c>
      <c r="AB32" s="432">
        <v>0</v>
      </c>
      <c r="AC32" s="432">
        <v>0</v>
      </c>
      <c r="AD32" s="432">
        <v>0</v>
      </c>
      <c r="AE32" s="432">
        <v>0</v>
      </c>
      <c r="AF32" s="432">
        <v>0</v>
      </c>
      <c r="AG32" s="432">
        <v>0</v>
      </c>
      <c r="AH32" s="432">
        <v>0</v>
      </c>
      <c r="AI32" s="158">
        <v>79330</v>
      </c>
      <c r="AJ32" s="158">
        <v>0</v>
      </c>
      <c r="AK32" s="158">
        <v>79330</v>
      </c>
      <c r="AL32" s="158">
        <v>79330</v>
      </c>
      <c r="AM32" s="158">
        <v>856800</v>
      </c>
      <c r="AN32" s="158">
        <v>79330</v>
      </c>
      <c r="AO32" s="158">
        <v>79330</v>
      </c>
      <c r="AP32" s="158">
        <v>79000</v>
      </c>
      <c r="AQ32" s="432">
        <v>0</v>
      </c>
      <c r="AR32" s="432">
        <v>0</v>
      </c>
      <c r="AS32" s="432">
        <v>0</v>
      </c>
      <c r="AT32" s="432">
        <v>0</v>
      </c>
      <c r="AU32" s="432">
        <v>0</v>
      </c>
      <c r="AV32" s="432">
        <v>0</v>
      </c>
      <c r="AW32" s="432">
        <v>0</v>
      </c>
      <c r="AX32" s="432">
        <v>0</v>
      </c>
      <c r="AY32" s="158">
        <v>49500</v>
      </c>
      <c r="AZ32" s="158">
        <v>0</v>
      </c>
      <c r="BA32" s="158">
        <v>49500</v>
      </c>
      <c r="BB32" s="158">
        <v>49500</v>
      </c>
      <c r="BC32" s="158">
        <v>49500</v>
      </c>
      <c r="BD32" s="158">
        <v>49500</v>
      </c>
      <c r="BE32" s="158">
        <v>49500</v>
      </c>
      <c r="BF32" s="160">
        <v>49000</v>
      </c>
      <c r="BG32" s="383">
        <v>2023</v>
      </c>
      <c r="BH32" s="383">
        <v>1</v>
      </c>
      <c r="BI32" s="383">
        <v>19</v>
      </c>
      <c r="BK32" s="147" t="str">
        <f>IF(R32=SUM(Z32,AH32,AP32,AX32,BF32),"○","×")</f>
        <v>○</v>
      </c>
    </row>
    <row r="33" spans="1:63" x14ac:dyDescent="0.2">
      <c r="A33" s="428">
        <v>1038</v>
      </c>
      <c r="B33" s="429"/>
      <c r="C33" s="430"/>
      <c r="D33" s="429"/>
      <c r="E33" s="430"/>
      <c r="F33" s="429"/>
      <c r="G33" s="429"/>
      <c r="H33" s="430"/>
      <c r="I33" s="429"/>
      <c r="J33" s="429"/>
      <c r="K33" s="429"/>
      <c r="L33" s="383"/>
      <c r="M33" s="383" t="s">
        <v>396</v>
      </c>
      <c r="N33" s="383" t="s">
        <v>323</v>
      </c>
      <c r="O33" s="383" t="s">
        <v>393</v>
      </c>
      <c r="P33" s="383" t="s">
        <v>970</v>
      </c>
      <c r="Q33" s="383"/>
      <c r="R33" s="431">
        <v>137000</v>
      </c>
      <c r="S33" s="158">
        <v>0</v>
      </c>
      <c r="T33" s="158">
        <v>0</v>
      </c>
      <c r="U33" s="158">
        <v>0</v>
      </c>
      <c r="V33" s="158">
        <v>0</v>
      </c>
      <c r="W33" s="158">
        <v>0</v>
      </c>
      <c r="X33" s="158">
        <v>0</v>
      </c>
      <c r="Y33" s="158">
        <v>0</v>
      </c>
      <c r="Z33" s="158">
        <v>0</v>
      </c>
      <c r="AA33" s="432">
        <v>0</v>
      </c>
      <c r="AB33" s="432">
        <v>0</v>
      </c>
      <c r="AC33" s="432">
        <v>0</v>
      </c>
      <c r="AD33" s="432">
        <v>0</v>
      </c>
      <c r="AE33" s="432">
        <v>0</v>
      </c>
      <c r="AF33" s="432">
        <v>0</v>
      </c>
      <c r="AG33" s="432">
        <v>0</v>
      </c>
      <c r="AH33" s="432">
        <v>0</v>
      </c>
      <c r="AI33" s="158">
        <v>0</v>
      </c>
      <c r="AJ33" s="158">
        <v>0</v>
      </c>
      <c r="AK33" s="158">
        <v>0</v>
      </c>
      <c r="AL33" s="158">
        <v>0</v>
      </c>
      <c r="AM33" s="158">
        <v>0</v>
      </c>
      <c r="AN33" s="158">
        <v>0</v>
      </c>
      <c r="AO33" s="158">
        <v>0</v>
      </c>
      <c r="AP33" s="158">
        <v>0</v>
      </c>
      <c r="AQ33" s="432">
        <v>0</v>
      </c>
      <c r="AR33" s="432">
        <v>0</v>
      </c>
      <c r="AS33" s="432">
        <v>0</v>
      </c>
      <c r="AT33" s="432">
        <v>0</v>
      </c>
      <c r="AU33" s="432">
        <v>0</v>
      </c>
      <c r="AV33" s="432">
        <v>0</v>
      </c>
      <c r="AW33" s="432">
        <v>0</v>
      </c>
      <c r="AX33" s="432">
        <v>0</v>
      </c>
      <c r="AY33" s="158">
        <v>137500</v>
      </c>
      <c r="AZ33" s="158">
        <v>0</v>
      </c>
      <c r="BA33" s="158">
        <v>137500</v>
      </c>
      <c r="BB33" s="158">
        <v>137500</v>
      </c>
      <c r="BC33" s="158">
        <v>137500</v>
      </c>
      <c r="BD33" s="158">
        <v>137500</v>
      </c>
      <c r="BE33" s="158">
        <v>137500</v>
      </c>
      <c r="BF33" s="160">
        <v>137000</v>
      </c>
      <c r="BG33" s="383">
        <v>2023</v>
      </c>
      <c r="BH33" s="383">
        <v>1</v>
      </c>
      <c r="BI33" s="383">
        <v>19</v>
      </c>
      <c r="BK33" s="147" t="str">
        <f>IF(R33=SUM(Z33,AH33,AP33,AX33,BF33),"○","×")</f>
        <v>○</v>
      </c>
    </row>
    <row r="34" spans="1:63" x14ac:dyDescent="0.2">
      <c r="A34" s="428">
        <v>1039</v>
      </c>
      <c r="B34" s="429"/>
      <c r="C34" s="430"/>
      <c r="D34" s="429"/>
      <c r="E34" s="430"/>
      <c r="F34" s="429"/>
      <c r="G34" s="429"/>
      <c r="H34" s="430"/>
      <c r="I34" s="429"/>
      <c r="J34" s="429"/>
      <c r="K34" s="429"/>
      <c r="L34" s="383"/>
      <c r="M34" s="383" t="s">
        <v>397</v>
      </c>
      <c r="N34" s="383" t="s">
        <v>326</v>
      </c>
      <c r="O34" s="383" t="s">
        <v>398</v>
      </c>
      <c r="P34" s="383" t="s">
        <v>970</v>
      </c>
      <c r="Q34" s="383"/>
      <c r="R34" s="431">
        <v>433000</v>
      </c>
      <c r="S34" s="158">
        <v>0</v>
      </c>
      <c r="T34" s="158">
        <v>0</v>
      </c>
      <c r="U34" s="158">
        <v>0</v>
      </c>
      <c r="V34" s="158">
        <v>0</v>
      </c>
      <c r="W34" s="158">
        <v>0</v>
      </c>
      <c r="X34" s="158">
        <v>0</v>
      </c>
      <c r="Y34" s="158">
        <v>0</v>
      </c>
      <c r="Z34" s="158">
        <v>0</v>
      </c>
      <c r="AA34" s="432">
        <v>0</v>
      </c>
      <c r="AB34" s="432">
        <v>0</v>
      </c>
      <c r="AC34" s="432">
        <v>0</v>
      </c>
      <c r="AD34" s="432">
        <v>0</v>
      </c>
      <c r="AE34" s="432">
        <v>0</v>
      </c>
      <c r="AF34" s="432">
        <v>0</v>
      </c>
      <c r="AG34" s="432">
        <v>0</v>
      </c>
      <c r="AH34" s="432">
        <v>0</v>
      </c>
      <c r="AI34" s="158">
        <v>327970</v>
      </c>
      <c r="AJ34" s="158">
        <v>0</v>
      </c>
      <c r="AK34" s="158">
        <v>327970</v>
      </c>
      <c r="AL34" s="158">
        <v>327970</v>
      </c>
      <c r="AM34" s="158">
        <v>4860000</v>
      </c>
      <c r="AN34" s="158">
        <v>327970</v>
      </c>
      <c r="AO34" s="158">
        <v>327970</v>
      </c>
      <c r="AP34" s="158">
        <v>327000</v>
      </c>
      <c r="AQ34" s="432">
        <v>0</v>
      </c>
      <c r="AR34" s="432">
        <v>0</v>
      </c>
      <c r="AS34" s="432">
        <v>0</v>
      </c>
      <c r="AT34" s="432">
        <v>0</v>
      </c>
      <c r="AU34" s="432">
        <v>0</v>
      </c>
      <c r="AV34" s="432">
        <v>0</v>
      </c>
      <c r="AW34" s="432">
        <v>0</v>
      </c>
      <c r="AX34" s="432">
        <v>0</v>
      </c>
      <c r="AY34" s="158">
        <v>106920</v>
      </c>
      <c r="AZ34" s="158">
        <v>0</v>
      </c>
      <c r="BA34" s="158">
        <v>106920</v>
      </c>
      <c r="BB34" s="158">
        <v>106920</v>
      </c>
      <c r="BC34" s="158">
        <v>106920</v>
      </c>
      <c r="BD34" s="158">
        <v>106920</v>
      </c>
      <c r="BE34" s="158">
        <v>106920</v>
      </c>
      <c r="BF34" s="160">
        <v>106000</v>
      </c>
      <c r="BG34" s="383">
        <v>2023</v>
      </c>
      <c r="BH34" s="383">
        <v>1</v>
      </c>
      <c r="BI34" s="383">
        <v>19</v>
      </c>
      <c r="BK34" s="147" t="str">
        <f>IF(R34=SUM(Z34,AH34,AP34,AX34,BF34),"○","×")</f>
        <v>○</v>
      </c>
    </row>
    <row r="35" spans="1:63" x14ac:dyDescent="0.2">
      <c r="A35" s="428">
        <v>1040</v>
      </c>
      <c r="B35" s="429"/>
      <c r="C35" s="430"/>
      <c r="D35" s="429"/>
      <c r="E35" s="430"/>
      <c r="F35" s="429"/>
      <c r="G35" s="429"/>
      <c r="H35" s="430"/>
      <c r="I35" s="429"/>
      <c r="J35" s="429"/>
      <c r="K35" s="429"/>
      <c r="L35" s="383"/>
      <c r="M35" s="383" t="s">
        <v>399</v>
      </c>
      <c r="N35" s="383" t="s">
        <v>329</v>
      </c>
      <c r="O35" s="383" t="s">
        <v>400</v>
      </c>
      <c r="P35" s="383" t="s">
        <v>970</v>
      </c>
      <c r="Q35" s="383"/>
      <c r="R35" s="431">
        <v>600000</v>
      </c>
      <c r="S35" s="158">
        <v>0</v>
      </c>
      <c r="T35" s="158">
        <v>0</v>
      </c>
      <c r="U35" s="158">
        <v>0</v>
      </c>
      <c r="V35" s="158">
        <v>0</v>
      </c>
      <c r="W35" s="158">
        <v>0</v>
      </c>
      <c r="X35" s="158">
        <v>0</v>
      </c>
      <c r="Y35" s="158">
        <v>0</v>
      </c>
      <c r="Z35" s="158">
        <v>0</v>
      </c>
      <c r="AA35" s="432">
        <v>228800</v>
      </c>
      <c r="AB35" s="432">
        <v>0</v>
      </c>
      <c r="AC35" s="432">
        <v>228800</v>
      </c>
      <c r="AD35" s="432">
        <v>228800</v>
      </c>
      <c r="AE35" s="432">
        <v>205000</v>
      </c>
      <c r="AF35" s="432">
        <v>205000</v>
      </c>
      <c r="AG35" s="432">
        <v>205000</v>
      </c>
      <c r="AH35" s="432">
        <v>205000</v>
      </c>
      <c r="AI35" s="158">
        <v>395760</v>
      </c>
      <c r="AJ35" s="158">
        <v>0</v>
      </c>
      <c r="AK35" s="158">
        <v>395760</v>
      </c>
      <c r="AL35" s="158">
        <v>395760</v>
      </c>
      <c r="AM35" s="158">
        <v>6120000</v>
      </c>
      <c r="AN35" s="158">
        <v>395760</v>
      </c>
      <c r="AO35" s="158">
        <v>395760</v>
      </c>
      <c r="AP35" s="158">
        <v>395000</v>
      </c>
      <c r="AQ35" s="432">
        <v>0</v>
      </c>
      <c r="AR35" s="432">
        <v>0</v>
      </c>
      <c r="AS35" s="432">
        <v>0</v>
      </c>
      <c r="AT35" s="432">
        <v>0</v>
      </c>
      <c r="AU35" s="432">
        <v>0</v>
      </c>
      <c r="AV35" s="432">
        <v>0</v>
      </c>
      <c r="AW35" s="432">
        <v>0</v>
      </c>
      <c r="AX35" s="432">
        <v>0</v>
      </c>
      <c r="AY35" s="158">
        <v>0</v>
      </c>
      <c r="AZ35" s="158">
        <v>0</v>
      </c>
      <c r="BA35" s="158">
        <v>0</v>
      </c>
      <c r="BB35" s="158">
        <v>0</v>
      </c>
      <c r="BC35" s="158">
        <v>0</v>
      </c>
      <c r="BD35" s="158">
        <v>0</v>
      </c>
      <c r="BE35" s="158">
        <v>0</v>
      </c>
      <c r="BF35" s="160">
        <v>0</v>
      </c>
      <c r="BG35" s="383">
        <v>2023</v>
      </c>
      <c r="BH35" s="383">
        <v>1</v>
      </c>
      <c r="BI35" s="383">
        <v>19</v>
      </c>
      <c r="BK35" s="147" t="str">
        <f>IF(R35=SUM(Z35,AH35,AP35,AX35,BF35),"○","×")</f>
        <v>○</v>
      </c>
    </row>
    <row r="36" spans="1:63" x14ac:dyDescent="0.2">
      <c r="A36" s="428">
        <v>1041</v>
      </c>
      <c r="B36" s="429"/>
      <c r="C36" s="430"/>
      <c r="D36" s="429"/>
      <c r="E36" s="430"/>
      <c r="F36" s="429"/>
      <c r="G36" s="429"/>
      <c r="H36" s="430"/>
      <c r="I36" s="429"/>
      <c r="J36" s="429"/>
      <c r="K36" s="429"/>
      <c r="L36" s="383"/>
      <c r="M36" s="383" t="s">
        <v>401</v>
      </c>
      <c r="N36" s="383" t="s">
        <v>402</v>
      </c>
      <c r="O36" s="383" t="s">
        <v>333</v>
      </c>
      <c r="P36" s="383" t="s">
        <v>970</v>
      </c>
      <c r="Q36" s="383"/>
      <c r="R36" s="431">
        <v>1091000</v>
      </c>
      <c r="S36" s="158">
        <v>0</v>
      </c>
      <c r="T36" s="158">
        <v>0</v>
      </c>
      <c r="U36" s="158">
        <v>0</v>
      </c>
      <c r="V36" s="158">
        <v>0</v>
      </c>
      <c r="W36" s="158">
        <v>0</v>
      </c>
      <c r="X36" s="158">
        <v>0</v>
      </c>
      <c r="Y36" s="158">
        <v>0</v>
      </c>
      <c r="Z36" s="158">
        <v>0</v>
      </c>
      <c r="AA36" s="432">
        <v>0</v>
      </c>
      <c r="AB36" s="432">
        <v>0</v>
      </c>
      <c r="AC36" s="432">
        <v>0</v>
      </c>
      <c r="AD36" s="432">
        <v>0</v>
      </c>
      <c r="AE36" s="432">
        <v>0</v>
      </c>
      <c r="AF36" s="432">
        <v>0</v>
      </c>
      <c r="AG36" s="432">
        <v>0</v>
      </c>
      <c r="AH36" s="432">
        <v>0</v>
      </c>
      <c r="AI36" s="158">
        <v>976320</v>
      </c>
      <c r="AJ36" s="158">
        <v>0</v>
      </c>
      <c r="AK36" s="158">
        <v>976320</v>
      </c>
      <c r="AL36" s="158">
        <v>976320</v>
      </c>
      <c r="AM36" s="158">
        <v>7113600</v>
      </c>
      <c r="AN36" s="158">
        <v>976320</v>
      </c>
      <c r="AO36" s="158">
        <v>976320</v>
      </c>
      <c r="AP36" s="158">
        <v>976000</v>
      </c>
      <c r="AQ36" s="432">
        <v>0</v>
      </c>
      <c r="AR36" s="432">
        <v>0</v>
      </c>
      <c r="AS36" s="432">
        <v>0</v>
      </c>
      <c r="AT36" s="432">
        <v>0</v>
      </c>
      <c r="AU36" s="432">
        <v>0</v>
      </c>
      <c r="AV36" s="432">
        <v>0</v>
      </c>
      <c r="AW36" s="432">
        <v>0</v>
      </c>
      <c r="AX36" s="432">
        <v>0</v>
      </c>
      <c r="AY36" s="158">
        <v>115847</v>
      </c>
      <c r="AZ36" s="158">
        <v>0</v>
      </c>
      <c r="BA36" s="158">
        <v>115847</v>
      </c>
      <c r="BB36" s="158">
        <v>115847</v>
      </c>
      <c r="BC36" s="158">
        <v>115847</v>
      </c>
      <c r="BD36" s="158">
        <v>115847</v>
      </c>
      <c r="BE36" s="158">
        <v>115847</v>
      </c>
      <c r="BF36" s="160">
        <v>115000</v>
      </c>
      <c r="BG36" s="383">
        <v>2023</v>
      </c>
      <c r="BH36" s="383">
        <v>1</v>
      </c>
      <c r="BI36" s="383">
        <v>19</v>
      </c>
      <c r="BK36" s="147" t="str">
        <f>IF(R36=SUM(Z36,AH36,AP36,AX36,BF36),"○","×")</f>
        <v>○</v>
      </c>
    </row>
    <row r="37" spans="1:63" x14ac:dyDescent="0.2">
      <c r="A37" s="428">
        <v>1042</v>
      </c>
      <c r="B37" s="429"/>
      <c r="C37" s="430"/>
      <c r="D37" s="429"/>
      <c r="E37" s="430"/>
      <c r="F37" s="429"/>
      <c r="G37" s="429"/>
      <c r="H37" s="430"/>
      <c r="I37" s="429"/>
      <c r="J37" s="429"/>
      <c r="K37" s="429"/>
      <c r="L37" s="383"/>
      <c r="M37" s="383" t="s">
        <v>403</v>
      </c>
      <c r="N37" s="383" t="s">
        <v>372</v>
      </c>
      <c r="O37" s="383" t="s">
        <v>404</v>
      </c>
      <c r="P37" s="383" t="s">
        <v>970</v>
      </c>
      <c r="Q37" s="383"/>
      <c r="R37" s="431">
        <v>74000</v>
      </c>
      <c r="S37" s="158">
        <v>0</v>
      </c>
      <c r="T37" s="158">
        <v>0</v>
      </c>
      <c r="U37" s="158">
        <v>0</v>
      </c>
      <c r="V37" s="158">
        <v>0</v>
      </c>
      <c r="W37" s="158">
        <v>0</v>
      </c>
      <c r="X37" s="158">
        <v>0</v>
      </c>
      <c r="Y37" s="158">
        <v>0</v>
      </c>
      <c r="Z37" s="158">
        <v>0</v>
      </c>
      <c r="AA37" s="432">
        <v>0</v>
      </c>
      <c r="AB37" s="432">
        <v>0</v>
      </c>
      <c r="AC37" s="432">
        <v>0</v>
      </c>
      <c r="AD37" s="432">
        <v>0</v>
      </c>
      <c r="AE37" s="432">
        <v>0</v>
      </c>
      <c r="AF37" s="432">
        <v>0</v>
      </c>
      <c r="AG37" s="432">
        <v>0</v>
      </c>
      <c r="AH37" s="432">
        <v>0</v>
      </c>
      <c r="AI37" s="158">
        <v>0</v>
      </c>
      <c r="AJ37" s="158">
        <v>0</v>
      </c>
      <c r="AK37" s="158">
        <v>0</v>
      </c>
      <c r="AL37" s="158">
        <v>0</v>
      </c>
      <c r="AM37" s="158">
        <v>0</v>
      </c>
      <c r="AN37" s="158">
        <v>0</v>
      </c>
      <c r="AO37" s="158">
        <v>0</v>
      </c>
      <c r="AP37" s="158">
        <v>0</v>
      </c>
      <c r="AQ37" s="432">
        <v>0</v>
      </c>
      <c r="AR37" s="432">
        <v>0</v>
      </c>
      <c r="AS37" s="432">
        <v>0</v>
      </c>
      <c r="AT37" s="432">
        <v>0</v>
      </c>
      <c r="AU37" s="432">
        <v>0</v>
      </c>
      <c r="AV37" s="432">
        <v>0</v>
      </c>
      <c r="AW37" s="432">
        <v>0</v>
      </c>
      <c r="AX37" s="432">
        <v>0</v>
      </c>
      <c r="AY37" s="158">
        <v>74620</v>
      </c>
      <c r="AZ37" s="158">
        <v>0</v>
      </c>
      <c r="BA37" s="158">
        <v>74620</v>
      </c>
      <c r="BB37" s="158">
        <v>74620</v>
      </c>
      <c r="BC37" s="158">
        <v>74620</v>
      </c>
      <c r="BD37" s="158">
        <v>74620</v>
      </c>
      <c r="BE37" s="158">
        <v>74620</v>
      </c>
      <c r="BF37" s="160">
        <v>74000</v>
      </c>
      <c r="BG37" s="383">
        <v>2023</v>
      </c>
      <c r="BH37" s="383">
        <v>1</v>
      </c>
      <c r="BI37" s="383">
        <v>19</v>
      </c>
      <c r="BK37" s="147" t="str">
        <f>IF(R37=SUM(Z37,AH37,AP37,AX37,BF37),"○","×")</f>
        <v>○</v>
      </c>
    </row>
    <row r="38" spans="1:63" x14ac:dyDescent="0.2">
      <c r="A38" s="428">
        <v>1043</v>
      </c>
      <c r="B38" s="429"/>
      <c r="C38" s="430"/>
      <c r="D38" s="429"/>
      <c r="E38" s="430"/>
      <c r="F38" s="429"/>
      <c r="G38" s="429"/>
      <c r="H38" s="430"/>
      <c r="I38" s="429"/>
      <c r="J38" s="429"/>
      <c r="K38" s="429"/>
      <c r="L38" s="383"/>
      <c r="M38" s="383" t="s">
        <v>322</v>
      </c>
      <c r="N38" s="383" t="s">
        <v>323</v>
      </c>
      <c r="O38" s="383" t="s">
        <v>324</v>
      </c>
      <c r="P38" s="383" t="s">
        <v>970</v>
      </c>
      <c r="Q38" s="383"/>
      <c r="R38" s="431">
        <v>1227000</v>
      </c>
      <c r="S38" s="158">
        <v>0</v>
      </c>
      <c r="T38" s="158">
        <v>0</v>
      </c>
      <c r="U38" s="158">
        <v>0</v>
      </c>
      <c r="V38" s="158">
        <v>0</v>
      </c>
      <c r="W38" s="158">
        <v>0</v>
      </c>
      <c r="X38" s="158">
        <v>0</v>
      </c>
      <c r="Y38" s="158">
        <v>0</v>
      </c>
      <c r="Z38" s="158">
        <v>0</v>
      </c>
      <c r="AA38" s="432">
        <v>1227600</v>
      </c>
      <c r="AB38" s="432">
        <v>0</v>
      </c>
      <c r="AC38" s="432">
        <v>1227600</v>
      </c>
      <c r="AD38" s="432">
        <v>1227600</v>
      </c>
      <c r="AE38" s="432">
        <v>1230000</v>
      </c>
      <c r="AF38" s="432">
        <v>1227600</v>
      </c>
      <c r="AG38" s="432">
        <v>1227600</v>
      </c>
      <c r="AH38" s="432">
        <v>1227000</v>
      </c>
      <c r="AI38" s="158">
        <v>0</v>
      </c>
      <c r="AJ38" s="158">
        <v>0</v>
      </c>
      <c r="AK38" s="158">
        <v>0</v>
      </c>
      <c r="AL38" s="158">
        <v>0</v>
      </c>
      <c r="AM38" s="158">
        <v>0</v>
      </c>
      <c r="AN38" s="158">
        <v>0</v>
      </c>
      <c r="AO38" s="158">
        <v>0</v>
      </c>
      <c r="AP38" s="158">
        <v>0</v>
      </c>
      <c r="AQ38" s="432">
        <v>0</v>
      </c>
      <c r="AR38" s="432">
        <v>0</v>
      </c>
      <c r="AS38" s="432">
        <v>0</v>
      </c>
      <c r="AT38" s="432">
        <v>0</v>
      </c>
      <c r="AU38" s="432">
        <v>0</v>
      </c>
      <c r="AV38" s="432">
        <v>0</v>
      </c>
      <c r="AW38" s="432">
        <v>0</v>
      </c>
      <c r="AX38" s="432">
        <v>0</v>
      </c>
      <c r="AY38" s="158">
        <v>0</v>
      </c>
      <c r="AZ38" s="158">
        <v>0</v>
      </c>
      <c r="BA38" s="158">
        <v>0</v>
      </c>
      <c r="BB38" s="158">
        <v>0</v>
      </c>
      <c r="BC38" s="158">
        <v>0</v>
      </c>
      <c r="BD38" s="158">
        <v>0</v>
      </c>
      <c r="BE38" s="158">
        <v>0</v>
      </c>
      <c r="BF38" s="160">
        <v>0</v>
      </c>
      <c r="BG38" s="383">
        <v>2023</v>
      </c>
      <c r="BH38" s="383">
        <v>1</v>
      </c>
      <c r="BI38" s="383">
        <v>19</v>
      </c>
      <c r="BK38" s="147" t="str">
        <f>IF(R38=SUM(Z38,AH38,AP38,AX38,BF38),"○","×")</f>
        <v>○</v>
      </c>
    </row>
    <row r="39" spans="1:63" x14ac:dyDescent="0.2">
      <c r="A39" s="428">
        <v>1044</v>
      </c>
      <c r="B39" s="429"/>
      <c r="C39" s="430"/>
      <c r="D39" s="429"/>
      <c r="E39" s="430"/>
      <c r="F39" s="429"/>
      <c r="G39" s="429"/>
      <c r="H39" s="430"/>
      <c r="I39" s="429"/>
      <c r="J39" s="429"/>
      <c r="K39" s="429"/>
      <c r="L39" s="383"/>
      <c r="M39" s="383" t="s">
        <v>405</v>
      </c>
      <c r="N39" s="383" t="s">
        <v>340</v>
      </c>
      <c r="O39" s="383" t="s">
        <v>406</v>
      </c>
      <c r="P39" s="383" t="s">
        <v>970</v>
      </c>
      <c r="Q39" s="383"/>
      <c r="R39" s="431">
        <v>1184000</v>
      </c>
      <c r="S39" s="158">
        <v>0</v>
      </c>
      <c r="T39" s="158">
        <v>0</v>
      </c>
      <c r="U39" s="158">
        <v>0</v>
      </c>
      <c r="V39" s="158">
        <v>0</v>
      </c>
      <c r="W39" s="158">
        <v>0</v>
      </c>
      <c r="X39" s="158">
        <v>0</v>
      </c>
      <c r="Y39" s="158">
        <v>0</v>
      </c>
      <c r="Z39" s="158">
        <v>0</v>
      </c>
      <c r="AA39" s="432">
        <v>0</v>
      </c>
      <c r="AB39" s="432">
        <v>0</v>
      </c>
      <c r="AC39" s="432">
        <v>0</v>
      </c>
      <c r="AD39" s="432">
        <v>0</v>
      </c>
      <c r="AE39" s="432">
        <v>0</v>
      </c>
      <c r="AF39" s="432">
        <v>0</v>
      </c>
      <c r="AG39" s="432">
        <v>0</v>
      </c>
      <c r="AH39" s="432">
        <v>0</v>
      </c>
      <c r="AI39" s="158">
        <v>924150</v>
      </c>
      <c r="AJ39" s="158">
        <v>0</v>
      </c>
      <c r="AK39" s="158">
        <v>924150</v>
      </c>
      <c r="AL39" s="158">
        <v>924150</v>
      </c>
      <c r="AM39" s="158">
        <v>1576800</v>
      </c>
      <c r="AN39" s="158">
        <v>924150</v>
      </c>
      <c r="AO39" s="158">
        <v>924150</v>
      </c>
      <c r="AP39" s="158">
        <v>924000</v>
      </c>
      <c r="AQ39" s="432">
        <v>0</v>
      </c>
      <c r="AR39" s="432">
        <v>0</v>
      </c>
      <c r="AS39" s="432">
        <v>0</v>
      </c>
      <c r="AT39" s="432">
        <v>0</v>
      </c>
      <c r="AU39" s="432">
        <v>0</v>
      </c>
      <c r="AV39" s="432">
        <v>0</v>
      </c>
      <c r="AW39" s="432">
        <v>0</v>
      </c>
      <c r="AX39" s="432">
        <v>0</v>
      </c>
      <c r="AY39" s="158">
        <v>260260</v>
      </c>
      <c r="AZ39" s="158">
        <v>0</v>
      </c>
      <c r="BA39" s="158">
        <v>260260</v>
      </c>
      <c r="BB39" s="158">
        <v>260260</v>
      </c>
      <c r="BC39" s="158">
        <v>260260</v>
      </c>
      <c r="BD39" s="158">
        <v>260260</v>
      </c>
      <c r="BE39" s="158">
        <v>260260</v>
      </c>
      <c r="BF39" s="160">
        <v>260000</v>
      </c>
      <c r="BG39" s="383">
        <v>2023</v>
      </c>
      <c r="BH39" s="383">
        <v>1</v>
      </c>
      <c r="BI39" s="383">
        <v>19</v>
      </c>
      <c r="BK39" s="147" t="str">
        <f>IF(R39=SUM(Z39,AH39,AP39,AX39,BF39),"○","×")</f>
        <v>○</v>
      </c>
    </row>
    <row r="40" spans="1:63" x14ac:dyDescent="0.2">
      <c r="A40" s="428">
        <v>1045</v>
      </c>
      <c r="B40" s="429"/>
      <c r="C40" s="430"/>
      <c r="D40" s="429"/>
      <c r="E40" s="430"/>
      <c r="F40" s="429"/>
      <c r="G40" s="429"/>
      <c r="H40" s="430"/>
      <c r="I40" s="429"/>
      <c r="J40" s="429"/>
      <c r="K40" s="429"/>
      <c r="L40" s="383"/>
      <c r="M40" s="383" t="s">
        <v>407</v>
      </c>
      <c r="N40" s="383" t="s">
        <v>408</v>
      </c>
      <c r="O40" s="383" t="s">
        <v>409</v>
      </c>
      <c r="P40" s="383" t="s">
        <v>970</v>
      </c>
      <c r="Q40" s="383"/>
      <c r="R40" s="431">
        <v>866000</v>
      </c>
      <c r="S40" s="158">
        <v>0</v>
      </c>
      <c r="T40" s="158">
        <v>0</v>
      </c>
      <c r="U40" s="158">
        <v>0</v>
      </c>
      <c r="V40" s="158">
        <v>0</v>
      </c>
      <c r="W40" s="158">
        <v>0</v>
      </c>
      <c r="X40" s="158">
        <v>0</v>
      </c>
      <c r="Y40" s="158">
        <v>0</v>
      </c>
      <c r="Z40" s="158">
        <v>0</v>
      </c>
      <c r="AA40" s="432">
        <v>375100</v>
      </c>
      <c r="AB40" s="432">
        <v>0</v>
      </c>
      <c r="AC40" s="432">
        <v>375100</v>
      </c>
      <c r="AD40" s="432">
        <v>375100</v>
      </c>
      <c r="AE40" s="432">
        <v>410000</v>
      </c>
      <c r="AF40" s="432">
        <v>375100</v>
      </c>
      <c r="AG40" s="432">
        <v>375100</v>
      </c>
      <c r="AH40" s="432">
        <v>375000</v>
      </c>
      <c r="AI40" s="158">
        <v>491106</v>
      </c>
      <c r="AJ40" s="158">
        <v>0</v>
      </c>
      <c r="AK40" s="158">
        <v>491106</v>
      </c>
      <c r="AL40" s="158">
        <v>491106</v>
      </c>
      <c r="AM40" s="158">
        <v>1008000</v>
      </c>
      <c r="AN40" s="158">
        <v>491106</v>
      </c>
      <c r="AO40" s="158">
        <v>491106</v>
      </c>
      <c r="AP40" s="158">
        <v>491000</v>
      </c>
      <c r="AQ40" s="432">
        <v>0</v>
      </c>
      <c r="AR40" s="432">
        <v>0</v>
      </c>
      <c r="AS40" s="432">
        <v>0</v>
      </c>
      <c r="AT40" s="432">
        <v>0</v>
      </c>
      <c r="AU40" s="432">
        <v>0</v>
      </c>
      <c r="AV40" s="432">
        <v>0</v>
      </c>
      <c r="AW40" s="432">
        <v>0</v>
      </c>
      <c r="AX40" s="432">
        <v>0</v>
      </c>
      <c r="AY40" s="158">
        <v>0</v>
      </c>
      <c r="AZ40" s="158">
        <v>0</v>
      </c>
      <c r="BA40" s="158">
        <v>0</v>
      </c>
      <c r="BB40" s="158">
        <v>0</v>
      </c>
      <c r="BC40" s="158">
        <v>0</v>
      </c>
      <c r="BD40" s="158">
        <v>0</v>
      </c>
      <c r="BE40" s="158">
        <v>0</v>
      </c>
      <c r="BF40" s="160">
        <v>0</v>
      </c>
      <c r="BG40" s="383">
        <v>2023</v>
      </c>
      <c r="BH40" s="383">
        <v>1</v>
      </c>
      <c r="BI40" s="383">
        <v>19</v>
      </c>
      <c r="BK40" s="147" t="str">
        <f>IF(R40=SUM(Z40,AH40,AP40,AX40,BF40),"○","×")</f>
        <v>○</v>
      </c>
    </row>
    <row r="41" spans="1:63" x14ac:dyDescent="0.2">
      <c r="A41" s="428">
        <v>1046</v>
      </c>
      <c r="B41" s="429"/>
      <c r="C41" s="430"/>
      <c r="D41" s="429"/>
      <c r="E41" s="430"/>
      <c r="F41" s="429"/>
      <c r="G41" s="429"/>
      <c r="H41" s="430"/>
      <c r="I41" s="429"/>
      <c r="J41" s="429"/>
      <c r="K41" s="429"/>
      <c r="L41" s="383"/>
      <c r="M41" s="383" t="s">
        <v>410</v>
      </c>
      <c r="N41" s="383" t="s">
        <v>411</v>
      </c>
      <c r="O41" s="383" t="s">
        <v>412</v>
      </c>
      <c r="P41" s="383" t="s">
        <v>970</v>
      </c>
      <c r="Q41" s="383"/>
      <c r="R41" s="431">
        <v>3359000</v>
      </c>
      <c r="S41" s="158">
        <v>0</v>
      </c>
      <c r="T41" s="158">
        <v>0</v>
      </c>
      <c r="U41" s="158">
        <v>0</v>
      </c>
      <c r="V41" s="158">
        <v>0</v>
      </c>
      <c r="W41" s="158">
        <v>0</v>
      </c>
      <c r="X41" s="158">
        <v>0</v>
      </c>
      <c r="Y41" s="158">
        <v>0</v>
      </c>
      <c r="Z41" s="158">
        <v>0</v>
      </c>
      <c r="AA41" s="432">
        <v>1228590</v>
      </c>
      <c r="AB41" s="432">
        <v>0</v>
      </c>
      <c r="AC41" s="432">
        <v>1228590</v>
      </c>
      <c r="AD41" s="432">
        <v>1228590</v>
      </c>
      <c r="AE41" s="432">
        <v>1230000</v>
      </c>
      <c r="AF41" s="432">
        <v>1228590</v>
      </c>
      <c r="AG41" s="432">
        <v>1228590</v>
      </c>
      <c r="AH41" s="432">
        <v>1228000</v>
      </c>
      <c r="AI41" s="158">
        <v>2288467</v>
      </c>
      <c r="AJ41" s="158">
        <v>0</v>
      </c>
      <c r="AK41" s="158">
        <v>2288467</v>
      </c>
      <c r="AL41" s="158">
        <v>2288467</v>
      </c>
      <c r="AM41" s="158">
        <v>2131200</v>
      </c>
      <c r="AN41" s="158">
        <v>2131200</v>
      </c>
      <c r="AO41" s="158">
        <v>2131200</v>
      </c>
      <c r="AP41" s="158">
        <v>2131000</v>
      </c>
      <c r="AQ41" s="432">
        <v>0</v>
      </c>
      <c r="AR41" s="432">
        <v>0</v>
      </c>
      <c r="AS41" s="432">
        <v>0</v>
      </c>
      <c r="AT41" s="432">
        <v>0</v>
      </c>
      <c r="AU41" s="432">
        <v>0</v>
      </c>
      <c r="AV41" s="432">
        <v>0</v>
      </c>
      <c r="AW41" s="432">
        <v>0</v>
      </c>
      <c r="AX41" s="432">
        <v>0</v>
      </c>
      <c r="AY41" s="158">
        <v>0</v>
      </c>
      <c r="AZ41" s="158">
        <v>0</v>
      </c>
      <c r="BA41" s="158">
        <v>0</v>
      </c>
      <c r="BB41" s="158">
        <v>0</v>
      </c>
      <c r="BC41" s="158">
        <v>0</v>
      </c>
      <c r="BD41" s="158">
        <v>0</v>
      </c>
      <c r="BE41" s="158">
        <v>0</v>
      </c>
      <c r="BF41" s="160">
        <v>0</v>
      </c>
      <c r="BG41" s="383">
        <v>2023</v>
      </c>
      <c r="BH41" s="383">
        <v>1</v>
      </c>
      <c r="BI41" s="383">
        <v>19</v>
      </c>
      <c r="BK41" s="147" t="str">
        <f>IF(R41=SUM(Z41,AH41,AP41,AX41,BF41),"○","×")</f>
        <v>○</v>
      </c>
    </row>
    <row r="42" spans="1:63" x14ac:dyDescent="0.2">
      <c r="A42" s="428">
        <v>1047</v>
      </c>
      <c r="B42" s="429"/>
      <c r="C42" s="430"/>
      <c r="D42" s="429"/>
      <c r="E42" s="430"/>
      <c r="F42" s="429"/>
      <c r="G42" s="429"/>
      <c r="H42" s="430"/>
      <c r="I42" s="429"/>
      <c r="J42" s="429"/>
      <c r="K42" s="429"/>
      <c r="L42" s="383"/>
      <c r="M42" s="383" t="s">
        <v>413</v>
      </c>
      <c r="N42" s="383" t="s">
        <v>323</v>
      </c>
      <c r="O42" s="383" t="s">
        <v>414</v>
      </c>
      <c r="P42" s="383" t="s">
        <v>970</v>
      </c>
      <c r="Q42" s="383"/>
      <c r="R42" s="431">
        <v>3806000</v>
      </c>
      <c r="S42" s="158">
        <v>5247000</v>
      </c>
      <c r="T42" s="158">
        <v>0</v>
      </c>
      <c r="U42" s="158">
        <v>5247000</v>
      </c>
      <c r="V42" s="158">
        <v>5247000</v>
      </c>
      <c r="W42" s="158">
        <v>905000</v>
      </c>
      <c r="X42" s="158">
        <v>905000</v>
      </c>
      <c r="Y42" s="158">
        <v>905000</v>
      </c>
      <c r="Z42" s="158">
        <v>905000</v>
      </c>
      <c r="AA42" s="432">
        <v>0</v>
      </c>
      <c r="AB42" s="432">
        <v>0</v>
      </c>
      <c r="AC42" s="432">
        <v>0</v>
      </c>
      <c r="AD42" s="432">
        <v>0</v>
      </c>
      <c r="AE42" s="432">
        <v>0</v>
      </c>
      <c r="AF42" s="432">
        <v>0</v>
      </c>
      <c r="AG42" s="432">
        <v>0</v>
      </c>
      <c r="AH42" s="432">
        <v>0</v>
      </c>
      <c r="AI42" s="158">
        <v>2901565</v>
      </c>
      <c r="AJ42" s="158">
        <v>0</v>
      </c>
      <c r="AK42" s="158">
        <v>2901565</v>
      </c>
      <c r="AL42" s="158">
        <v>2901565</v>
      </c>
      <c r="AM42" s="158">
        <v>4586400</v>
      </c>
      <c r="AN42" s="158">
        <v>2901565</v>
      </c>
      <c r="AO42" s="158">
        <v>2901565</v>
      </c>
      <c r="AP42" s="158">
        <v>2901000</v>
      </c>
      <c r="AQ42" s="432">
        <v>0</v>
      </c>
      <c r="AR42" s="432">
        <v>0</v>
      </c>
      <c r="AS42" s="432">
        <v>0</v>
      </c>
      <c r="AT42" s="432">
        <v>0</v>
      </c>
      <c r="AU42" s="432">
        <v>0</v>
      </c>
      <c r="AV42" s="432">
        <v>0</v>
      </c>
      <c r="AW42" s="432">
        <v>0</v>
      </c>
      <c r="AX42" s="432">
        <v>0</v>
      </c>
      <c r="AY42" s="158">
        <v>0</v>
      </c>
      <c r="AZ42" s="158">
        <v>0</v>
      </c>
      <c r="BA42" s="158">
        <v>0</v>
      </c>
      <c r="BB42" s="158">
        <v>0</v>
      </c>
      <c r="BC42" s="158">
        <v>0</v>
      </c>
      <c r="BD42" s="158">
        <v>0</v>
      </c>
      <c r="BE42" s="158">
        <v>0</v>
      </c>
      <c r="BF42" s="160">
        <v>0</v>
      </c>
      <c r="BG42" s="383">
        <v>2023</v>
      </c>
      <c r="BH42" s="383">
        <v>1</v>
      </c>
      <c r="BI42" s="383">
        <v>19</v>
      </c>
      <c r="BK42" s="147" t="str">
        <f>IF(R42=SUM(Z42,AH42,AP42,AX42,BF42),"○","×")</f>
        <v>○</v>
      </c>
    </row>
    <row r="43" spans="1:63" s="891" customFormat="1" x14ac:dyDescent="0.2">
      <c r="A43" s="884">
        <v>1048</v>
      </c>
      <c r="B43" s="885"/>
      <c r="C43" s="886"/>
      <c r="D43" s="885"/>
      <c r="E43" s="886"/>
      <c r="F43" s="885"/>
      <c r="G43" s="885"/>
      <c r="H43" s="886"/>
      <c r="I43" s="885"/>
      <c r="J43" s="885"/>
      <c r="K43" s="885"/>
      <c r="L43" s="887"/>
      <c r="M43" s="887" t="s">
        <v>415</v>
      </c>
      <c r="N43" s="887" t="s">
        <v>329</v>
      </c>
      <c r="O43" s="887" t="s">
        <v>416</v>
      </c>
      <c r="P43" s="887" t="s">
        <v>970</v>
      </c>
      <c r="Q43" s="888"/>
      <c r="R43" s="157">
        <v>440000</v>
      </c>
      <c r="S43" s="889">
        <v>0</v>
      </c>
      <c r="T43" s="889">
        <v>0</v>
      </c>
      <c r="U43" s="889">
        <v>0</v>
      </c>
      <c r="V43" s="889">
        <v>0</v>
      </c>
      <c r="W43" s="889">
        <v>0</v>
      </c>
      <c r="X43" s="889">
        <v>0</v>
      </c>
      <c r="Y43" s="889">
        <v>0</v>
      </c>
      <c r="Z43" s="889">
        <v>0</v>
      </c>
      <c r="AA43" s="157">
        <v>0</v>
      </c>
      <c r="AB43" s="157">
        <v>0</v>
      </c>
      <c r="AC43" s="157">
        <v>0</v>
      </c>
      <c r="AD43" s="157">
        <v>0</v>
      </c>
      <c r="AE43" s="157">
        <v>0</v>
      </c>
      <c r="AF43" s="157">
        <v>0</v>
      </c>
      <c r="AG43" s="157">
        <v>0</v>
      </c>
      <c r="AH43" s="157">
        <v>0</v>
      </c>
      <c r="AI43" s="889">
        <v>230180</v>
      </c>
      <c r="AJ43" s="889">
        <v>0</v>
      </c>
      <c r="AK43" s="889">
        <v>230180</v>
      </c>
      <c r="AL43" s="889">
        <v>230180</v>
      </c>
      <c r="AM43" s="889">
        <v>2592000</v>
      </c>
      <c r="AN43" s="889">
        <v>230180</v>
      </c>
      <c r="AO43" s="889">
        <v>230180</v>
      </c>
      <c r="AP43" s="889">
        <v>230000</v>
      </c>
      <c r="AQ43" s="157">
        <v>0</v>
      </c>
      <c r="AR43" s="157">
        <v>0</v>
      </c>
      <c r="AS43" s="157">
        <v>0</v>
      </c>
      <c r="AT43" s="157">
        <v>0</v>
      </c>
      <c r="AU43" s="157">
        <v>0</v>
      </c>
      <c r="AV43" s="157">
        <v>0</v>
      </c>
      <c r="AW43" s="157">
        <v>0</v>
      </c>
      <c r="AX43" s="157">
        <v>0</v>
      </c>
      <c r="AY43" s="889">
        <v>210347</v>
      </c>
      <c r="AZ43" s="889">
        <v>0</v>
      </c>
      <c r="BA43" s="889">
        <v>210347</v>
      </c>
      <c r="BB43" s="889">
        <v>210347</v>
      </c>
      <c r="BC43" s="889">
        <v>210347</v>
      </c>
      <c r="BD43" s="889">
        <v>210347</v>
      </c>
      <c r="BE43" s="889">
        <v>210347</v>
      </c>
      <c r="BF43" s="890">
        <v>210000</v>
      </c>
      <c r="BG43" s="887">
        <v>2023</v>
      </c>
      <c r="BH43" s="887">
        <v>3</v>
      </c>
      <c r="BI43" s="887">
        <v>30</v>
      </c>
    </row>
    <row r="44" spans="1:63" x14ac:dyDescent="0.2">
      <c r="A44" s="428">
        <v>1049</v>
      </c>
      <c r="B44" s="429"/>
      <c r="C44" s="430"/>
      <c r="D44" s="429"/>
      <c r="E44" s="430"/>
      <c r="F44" s="429"/>
      <c r="G44" s="429"/>
      <c r="H44" s="430"/>
      <c r="I44" s="429"/>
      <c r="J44" s="429"/>
      <c r="K44" s="429"/>
      <c r="L44" s="383"/>
      <c r="M44" s="383" t="s">
        <v>417</v>
      </c>
      <c r="N44" s="383" t="s">
        <v>367</v>
      </c>
      <c r="O44" s="383" t="s">
        <v>418</v>
      </c>
      <c r="P44" s="383" t="s">
        <v>970</v>
      </c>
      <c r="Q44" s="383"/>
      <c r="R44" s="431">
        <v>417000</v>
      </c>
      <c r="S44" s="158">
        <v>0</v>
      </c>
      <c r="T44" s="158">
        <v>0</v>
      </c>
      <c r="U44" s="158">
        <v>0</v>
      </c>
      <c r="V44" s="158">
        <v>0</v>
      </c>
      <c r="W44" s="158">
        <v>0</v>
      </c>
      <c r="X44" s="158">
        <v>0</v>
      </c>
      <c r="Y44" s="158">
        <v>0</v>
      </c>
      <c r="Z44" s="158">
        <v>0</v>
      </c>
      <c r="AA44" s="432">
        <v>0</v>
      </c>
      <c r="AB44" s="432">
        <v>0</v>
      </c>
      <c r="AC44" s="432">
        <v>0</v>
      </c>
      <c r="AD44" s="432">
        <v>0</v>
      </c>
      <c r="AE44" s="432">
        <v>0</v>
      </c>
      <c r="AF44" s="432">
        <v>0</v>
      </c>
      <c r="AG44" s="432">
        <v>0</v>
      </c>
      <c r="AH44" s="432">
        <v>0</v>
      </c>
      <c r="AI44" s="158">
        <v>417400</v>
      </c>
      <c r="AJ44" s="158">
        <v>0</v>
      </c>
      <c r="AK44" s="158">
        <v>417400</v>
      </c>
      <c r="AL44" s="158">
        <v>417400</v>
      </c>
      <c r="AM44" s="158">
        <v>3628800</v>
      </c>
      <c r="AN44" s="158">
        <v>417400</v>
      </c>
      <c r="AO44" s="158">
        <v>417400</v>
      </c>
      <c r="AP44" s="158">
        <v>417000</v>
      </c>
      <c r="AQ44" s="432">
        <v>0</v>
      </c>
      <c r="AR44" s="432">
        <v>0</v>
      </c>
      <c r="AS44" s="432">
        <v>0</v>
      </c>
      <c r="AT44" s="432">
        <v>0</v>
      </c>
      <c r="AU44" s="432">
        <v>0</v>
      </c>
      <c r="AV44" s="432">
        <v>0</v>
      </c>
      <c r="AW44" s="432">
        <v>0</v>
      </c>
      <c r="AX44" s="432">
        <v>0</v>
      </c>
      <c r="AY44" s="158">
        <v>0</v>
      </c>
      <c r="AZ44" s="158">
        <v>0</v>
      </c>
      <c r="BA44" s="158">
        <v>0</v>
      </c>
      <c r="BB44" s="158">
        <v>0</v>
      </c>
      <c r="BC44" s="158">
        <v>0</v>
      </c>
      <c r="BD44" s="158">
        <v>0</v>
      </c>
      <c r="BE44" s="158">
        <v>0</v>
      </c>
      <c r="BF44" s="160">
        <v>0</v>
      </c>
      <c r="BG44" s="383">
        <v>2023</v>
      </c>
      <c r="BH44" s="383">
        <v>1</v>
      </c>
      <c r="BI44" s="383">
        <v>19</v>
      </c>
      <c r="BK44" s="147" t="str">
        <f>IF(R44=SUM(Z44,AH44,AP44,AX44,BF44),"○","×")</f>
        <v>○</v>
      </c>
    </row>
    <row r="45" spans="1:63" x14ac:dyDescent="0.2">
      <c r="A45" s="428">
        <v>1051</v>
      </c>
      <c r="B45" s="429"/>
      <c r="C45" s="430"/>
      <c r="D45" s="429"/>
      <c r="E45" s="430"/>
      <c r="F45" s="429"/>
      <c r="G45" s="429"/>
      <c r="H45" s="430"/>
      <c r="I45" s="429"/>
      <c r="J45" s="429"/>
      <c r="K45" s="429"/>
      <c r="L45" s="383"/>
      <c r="M45" s="383" t="s">
        <v>359</v>
      </c>
      <c r="N45" s="383" t="s">
        <v>360</v>
      </c>
      <c r="O45" s="383" t="s">
        <v>361</v>
      </c>
      <c r="P45" s="383" t="s">
        <v>970</v>
      </c>
      <c r="Q45" s="383"/>
      <c r="R45" s="431">
        <v>765000</v>
      </c>
      <c r="S45" s="158">
        <v>0</v>
      </c>
      <c r="T45" s="158">
        <v>0</v>
      </c>
      <c r="U45" s="158">
        <v>0</v>
      </c>
      <c r="V45" s="158">
        <v>0</v>
      </c>
      <c r="W45" s="158">
        <v>0</v>
      </c>
      <c r="X45" s="158">
        <v>0</v>
      </c>
      <c r="Y45" s="158">
        <v>0</v>
      </c>
      <c r="Z45" s="158">
        <v>0</v>
      </c>
      <c r="AA45" s="432">
        <v>0</v>
      </c>
      <c r="AB45" s="432">
        <v>0</v>
      </c>
      <c r="AC45" s="432">
        <v>0</v>
      </c>
      <c r="AD45" s="432">
        <v>0</v>
      </c>
      <c r="AE45" s="432">
        <v>0</v>
      </c>
      <c r="AF45" s="432">
        <v>0</v>
      </c>
      <c r="AG45" s="432">
        <v>0</v>
      </c>
      <c r="AH45" s="432">
        <v>0</v>
      </c>
      <c r="AI45" s="158">
        <v>485820</v>
      </c>
      <c r="AJ45" s="158">
        <v>0</v>
      </c>
      <c r="AK45" s="158">
        <v>485820</v>
      </c>
      <c r="AL45" s="158">
        <v>485820</v>
      </c>
      <c r="AM45" s="158">
        <v>13230000</v>
      </c>
      <c r="AN45" s="158">
        <v>485820</v>
      </c>
      <c r="AO45" s="158">
        <v>485820</v>
      </c>
      <c r="AP45" s="158">
        <v>485000</v>
      </c>
      <c r="AQ45" s="432">
        <v>0</v>
      </c>
      <c r="AR45" s="432">
        <v>0</v>
      </c>
      <c r="AS45" s="432">
        <v>0</v>
      </c>
      <c r="AT45" s="432">
        <v>0</v>
      </c>
      <c r="AU45" s="432">
        <v>0</v>
      </c>
      <c r="AV45" s="432">
        <v>0</v>
      </c>
      <c r="AW45" s="432">
        <v>0</v>
      </c>
      <c r="AX45" s="432">
        <v>0</v>
      </c>
      <c r="AY45" s="158">
        <v>280830</v>
      </c>
      <c r="AZ45" s="158">
        <v>0</v>
      </c>
      <c r="BA45" s="158">
        <v>280830</v>
      </c>
      <c r="BB45" s="158">
        <v>280830</v>
      </c>
      <c r="BC45" s="158">
        <v>280830</v>
      </c>
      <c r="BD45" s="158">
        <v>280830</v>
      </c>
      <c r="BE45" s="158">
        <v>280830</v>
      </c>
      <c r="BF45" s="160">
        <v>280000</v>
      </c>
      <c r="BG45" s="383">
        <v>2023</v>
      </c>
      <c r="BH45" s="383">
        <v>1</v>
      </c>
      <c r="BI45" s="383">
        <v>19</v>
      </c>
      <c r="BK45" s="147" t="str">
        <f>IF(R45=SUM(Z45,AH45,AP45,AX45,BF45),"○","×")</f>
        <v>○</v>
      </c>
    </row>
    <row r="46" spans="1:63" x14ac:dyDescent="0.2">
      <c r="A46" s="428">
        <v>1052</v>
      </c>
      <c r="B46" s="429"/>
      <c r="C46" s="430"/>
      <c r="D46" s="429"/>
      <c r="E46" s="430"/>
      <c r="F46" s="429"/>
      <c r="G46" s="429"/>
      <c r="H46" s="430"/>
      <c r="I46" s="429"/>
      <c r="J46" s="429"/>
      <c r="K46" s="429"/>
      <c r="L46" s="383"/>
      <c r="M46" s="383" t="s">
        <v>419</v>
      </c>
      <c r="N46" s="383" t="s">
        <v>343</v>
      </c>
      <c r="O46" s="383" t="s">
        <v>357</v>
      </c>
      <c r="P46" s="383" t="s">
        <v>970</v>
      </c>
      <c r="Q46" s="383"/>
      <c r="R46" s="431">
        <v>937000</v>
      </c>
      <c r="S46" s="158">
        <v>0</v>
      </c>
      <c r="T46" s="158">
        <v>0</v>
      </c>
      <c r="U46" s="158">
        <v>0</v>
      </c>
      <c r="V46" s="158">
        <v>0</v>
      </c>
      <c r="W46" s="158">
        <v>0</v>
      </c>
      <c r="X46" s="158">
        <v>0</v>
      </c>
      <c r="Y46" s="158">
        <v>0</v>
      </c>
      <c r="Z46" s="158">
        <v>0</v>
      </c>
      <c r="AA46" s="432">
        <v>600600</v>
      </c>
      <c r="AB46" s="432">
        <v>0</v>
      </c>
      <c r="AC46" s="432">
        <v>600600</v>
      </c>
      <c r="AD46" s="432">
        <v>600600</v>
      </c>
      <c r="AE46" s="432">
        <v>615000</v>
      </c>
      <c r="AF46" s="432">
        <v>600600</v>
      </c>
      <c r="AG46" s="432">
        <v>600600</v>
      </c>
      <c r="AH46" s="432">
        <v>600000</v>
      </c>
      <c r="AI46" s="158">
        <v>337847</v>
      </c>
      <c r="AJ46" s="158">
        <v>0</v>
      </c>
      <c r="AK46" s="158">
        <v>337847</v>
      </c>
      <c r="AL46" s="158">
        <v>337847</v>
      </c>
      <c r="AM46" s="158">
        <v>2008800</v>
      </c>
      <c r="AN46" s="158">
        <v>337847</v>
      </c>
      <c r="AO46" s="158">
        <v>337847</v>
      </c>
      <c r="AP46" s="158">
        <v>337000</v>
      </c>
      <c r="AQ46" s="432">
        <v>0</v>
      </c>
      <c r="AR46" s="432">
        <v>0</v>
      </c>
      <c r="AS46" s="432">
        <v>0</v>
      </c>
      <c r="AT46" s="432">
        <v>0</v>
      </c>
      <c r="AU46" s="432">
        <v>0</v>
      </c>
      <c r="AV46" s="432">
        <v>0</v>
      </c>
      <c r="AW46" s="432">
        <v>0</v>
      </c>
      <c r="AX46" s="432">
        <v>0</v>
      </c>
      <c r="AY46" s="158">
        <v>0</v>
      </c>
      <c r="AZ46" s="158">
        <v>0</v>
      </c>
      <c r="BA46" s="158">
        <v>0</v>
      </c>
      <c r="BB46" s="158">
        <v>0</v>
      </c>
      <c r="BC46" s="158">
        <v>0</v>
      </c>
      <c r="BD46" s="158">
        <v>0</v>
      </c>
      <c r="BE46" s="158">
        <v>0</v>
      </c>
      <c r="BF46" s="160">
        <v>0</v>
      </c>
      <c r="BG46" s="383">
        <v>2023</v>
      </c>
      <c r="BH46" s="383">
        <v>1</v>
      </c>
      <c r="BI46" s="383">
        <v>19</v>
      </c>
      <c r="BK46" s="147" t="str">
        <f>IF(R46=SUM(Z46,AH46,AP46,AX46,BF46),"○","×")</f>
        <v>○</v>
      </c>
    </row>
    <row r="47" spans="1:63" x14ac:dyDescent="0.2">
      <c r="A47" s="428">
        <v>1054</v>
      </c>
      <c r="B47" s="429"/>
      <c r="C47" s="430"/>
      <c r="D47" s="429"/>
      <c r="E47" s="430"/>
      <c r="F47" s="429"/>
      <c r="G47" s="429"/>
      <c r="H47" s="430"/>
      <c r="I47" s="429"/>
      <c r="J47" s="429"/>
      <c r="K47" s="429"/>
      <c r="L47" s="383"/>
      <c r="M47" s="383" t="s">
        <v>420</v>
      </c>
      <c r="N47" s="383" t="s">
        <v>326</v>
      </c>
      <c r="O47" s="383" t="s">
        <v>421</v>
      </c>
      <c r="P47" s="383" t="s">
        <v>970</v>
      </c>
      <c r="Q47" s="383"/>
      <c r="R47" s="431">
        <v>365000</v>
      </c>
      <c r="S47" s="158">
        <v>365970</v>
      </c>
      <c r="T47" s="158">
        <v>0</v>
      </c>
      <c r="U47" s="158">
        <v>365970</v>
      </c>
      <c r="V47" s="158">
        <v>365970</v>
      </c>
      <c r="W47" s="158">
        <v>905000</v>
      </c>
      <c r="X47" s="158">
        <v>365970</v>
      </c>
      <c r="Y47" s="158">
        <v>365970</v>
      </c>
      <c r="Z47" s="158">
        <v>365000</v>
      </c>
      <c r="AA47" s="432">
        <v>0</v>
      </c>
      <c r="AB47" s="432">
        <v>0</v>
      </c>
      <c r="AC47" s="432">
        <v>0</v>
      </c>
      <c r="AD47" s="432">
        <v>0</v>
      </c>
      <c r="AE47" s="432">
        <v>0</v>
      </c>
      <c r="AF47" s="432">
        <v>0</v>
      </c>
      <c r="AG47" s="432">
        <v>0</v>
      </c>
      <c r="AH47" s="432">
        <v>0</v>
      </c>
      <c r="AI47" s="158">
        <v>0</v>
      </c>
      <c r="AJ47" s="158">
        <v>0</v>
      </c>
      <c r="AK47" s="158">
        <v>0</v>
      </c>
      <c r="AL47" s="158">
        <v>0</v>
      </c>
      <c r="AM47" s="158">
        <v>0</v>
      </c>
      <c r="AN47" s="158">
        <v>0</v>
      </c>
      <c r="AO47" s="158">
        <v>0</v>
      </c>
      <c r="AP47" s="158">
        <v>0</v>
      </c>
      <c r="AQ47" s="432">
        <v>0</v>
      </c>
      <c r="AR47" s="432">
        <v>0</v>
      </c>
      <c r="AS47" s="432">
        <v>0</v>
      </c>
      <c r="AT47" s="432">
        <v>0</v>
      </c>
      <c r="AU47" s="432">
        <v>0</v>
      </c>
      <c r="AV47" s="432">
        <v>0</v>
      </c>
      <c r="AW47" s="432">
        <v>0</v>
      </c>
      <c r="AX47" s="432">
        <v>0</v>
      </c>
      <c r="AY47" s="158">
        <v>0</v>
      </c>
      <c r="AZ47" s="158">
        <v>0</v>
      </c>
      <c r="BA47" s="158">
        <v>0</v>
      </c>
      <c r="BB47" s="158">
        <v>0</v>
      </c>
      <c r="BC47" s="158">
        <v>0</v>
      </c>
      <c r="BD47" s="158">
        <v>0</v>
      </c>
      <c r="BE47" s="158">
        <v>0</v>
      </c>
      <c r="BF47" s="160">
        <v>0</v>
      </c>
      <c r="BG47" s="383">
        <v>2023</v>
      </c>
      <c r="BH47" s="383">
        <v>1</v>
      </c>
      <c r="BI47" s="383">
        <v>19</v>
      </c>
      <c r="BK47" s="147" t="str">
        <f>IF(R47=SUM(Z47,AH47,AP47,AX47,BF47),"○","×")</f>
        <v>○</v>
      </c>
    </row>
    <row r="48" spans="1:63" x14ac:dyDescent="0.2">
      <c r="A48" s="428">
        <v>1055</v>
      </c>
      <c r="B48" s="429"/>
      <c r="C48" s="430"/>
      <c r="D48" s="429"/>
      <c r="E48" s="430"/>
      <c r="F48" s="429"/>
      <c r="G48" s="429"/>
      <c r="H48" s="430"/>
      <c r="I48" s="429"/>
      <c r="J48" s="429"/>
      <c r="K48" s="429"/>
      <c r="L48" s="383"/>
      <c r="M48" s="383" t="s">
        <v>422</v>
      </c>
      <c r="N48" s="383" t="s">
        <v>323</v>
      </c>
      <c r="O48" s="383" t="s">
        <v>423</v>
      </c>
      <c r="P48" s="383" t="s">
        <v>970</v>
      </c>
      <c r="Q48" s="383"/>
      <c r="R48" s="431">
        <v>888000</v>
      </c>
      <c r="S48" s="158">
        <v>0</v>
      </c>
      <c r="T48" s="158">
        <v>0</v>
      </c>
      <c r="U48" s="158">
        <v>0</v>
      </c>
      <c r="V48" s="158">
        <v>0</v>
      </c>
      <c r="W48" s="158">
        <v>0</v>
      </c>
      <c r="X48" s="158">
        <v>0</v>
      </c>
      <c r="Y48" s="158">
        <v>0</v>
      </c>
      <c r="Z48" s="158">
        <v>0</v>
      </c>
      <c r="AA48" s="432">
        <v>770000</v>
      </c>
      <c r="AB48" s="432">
        <v>0</v>
      </c>
      <c r="AC48" s="432">
        <v>770000</v>
      </c>
      <c r="AD48" s="432">
        <v>770000</v>
      </c>
      <c r="AE48" s="432">
        <v>820000</v>
      </c>
      <c r="AF48" s="432">
        <v>770000</v>
      </c>
      <c r="AG48" s="432">
        <v>770000</v>
      </c>
      <c r="AH48" s="432">
        <v>770000</v>
      </c>
      <c r="AI48" s="158">
        <v>118239</v>
      </c>
      <c r="AJ48" s="158">
        <v>0</v>
      </c>
      <c r="AK48" s="158">
        <v>118239</v>
      </c>
      <c r="AL48" s="158">
        <v>118239</v>
      </c>
      <c r="AM48" s="158">
        <v>3132000</v>
      </c>
      <c r="AN48" s="158">
        <v>118239</v>
      </c>
      <c r="AO48" s="158">
        <v>118239</v>
      </c>
      <c r="AP48" s="158">
        <v>118000</v>
      </c>
      <c r="AQ48" s="432">
        <v>0</v>
      </c>
      <c r="AR48" s="432">
        <v>0</v>
      </c>
      <c r="AS48" s="432">
        <v>0</v>
      </c>
      <c r="AT48" s="432">
        <v>0</v>
      </c>
      <c r="AU48" s="432">
        <v>0</v>
      </c>
      <c r="AV48" s="432">
        <v>0</v>
      </c>
      <c r="AW48" s="432">
        <v>0</v>
      </c>
      <c r="AX48" s="432">
        <v>0</v>
      </c>
      <c r="AY48" s="158">
        <v>0</v>
      </c>
      <c r="AZ48" s="158">
        <v>0</v>
      </c>
      <c r="BA48" s="158">
        <v>0</v>
      </c>
      <c r="BB48" s="158">
        <v>0</v>
      </c>
      <c r="BC48" s="158">
        <v>0</v>
      </c>
      <c r="BD48" s="158">
        <v>0</v>
      </c>
      <c r="BE48" s="158">
        <v>0</v>
      </c>
      <c r="BF48" s="160">
        <v>0</v>
      </c>
      <c r="BG48" s="383">
        <v>2023</v>
      </c>
      <c r="BH48" s="383">
        <v>1</v>
      </c>
      <c r="BI48" s="383">
        <v>19</v>
      </c>
      <c r="BK48" s="147" t="str">
        <f>IF(R48=SUM(Z48,AH48,AP48,AX48,BF48),"○","×")</f>
        <v>○</v>
      </c>
    </row>
    <row r="49" spans="1:63" x14ac:dyDescent="0.2">
      <c r="A49" s="428">
        <v>1056</v>
      </c>
      <c r="B49" s="429"/>
      <c r="C49" s="430"/>
      <c r="D49" s="429"/>
      <c r="E49" s="430"/>
      <c r="F49" s="429"/>
      <c r="G49" s="429"/>
      <c r="H49" s="430"/>
      <c r="I49" s="429"/>
      <c r="J49" s="429"/>
      <c r="K49" s="429"/>
      <c r="L49" s="383"/>
      <c r="M49" s="383" t="s">
        <v>424</v>
      </c>
      <c r="N49" s="383" t="s">
        <v>356</v>
      </c>
      <c r="O49" s="383" t="s">
        <v>425</v>
      </c>
      <c r="P49" s="383" t="s">
        <v>970</v>
      </c>
      <c r="Q49" s="383"/>
      <c r="R49" s="431">
        <v>1604000</v>
      </c>
      <c r="S49" s="158">
        <v>0</v>
      </c>
      <c r="T49" s="158">
        <v>0</v>
      </c>
      <c r="U49" s="158">
        <v>0</v>
      </c>
      <c r="V49" s="158">
        <v>0</v>
      </c>
      <c r="W49" s="158">
        <v>0</v>
      </c>
      <c r="X49" s="158">
        <v>0</v>
      </c>
      <c r="Y49" s="158">
        <v>0</v>
      </c>
      <c r="Z49" s="158">
        <v>0</v>
      </c>
      <c r="AA49" s="432">
        <v>451000</v>
      </c>
      <c r="AB49" s="432">
        <v>0</v>
      </c>
      <c r="AC49" s="432">
        <v>451000</v>
      </c>
      <c r="AD49" s="432">
        <v>451000</v>
      </c>
      <c r="AE49" s="432">
        <v>410000</v>
      </c>
      <c r="AF49" s="432">
        <v>410000</v>
      </c>
      <c r="AG49" s="432">
        <v>410000</v>
      </c>
      <c r="AH49" s="432">
        <v>410000</v>
      </c>
      <c r="AI49" s="158">
        <v>1194330</v>
      </c>
      <c r="AJ49" s="158">
        <v>0</v>
      </c>
      <c r="AK49" s="158">
        <v>1194330</v>
      </c>
      <c r="AL49" s="158">
        <v>1194330</v>
      </c>
      <c r="AM49" s="158">
        <v>1620000</v>
      </c>
      <c r="AN49" s="158">
        <v>1194330</v>
      </c>
      <c r="AO49" s="158">
        <v>1194330</v>
      </c>
      <c r="AP49" s="158">
        <v>1194000</v>
      </c>
      <c r="AQ49" s="432">
        <v>0</v>
      </c>
      <c r="AR49" s="432">
        <v>0</v>
      </c>
      <c r="AS49" s="432">
        <v>0</v>
      </c>
      <c r="AT49" s="432">
        <v>0</v>
      </c>
      <c r="AU49" s="432">
        <v>0</v>
      </c>
      <c r="AV49" s="432">
        <v>0</v>
      </c>
      <c r="AW49" s="432">
        <v>0</v>
      </c>
      <c r="AX49" s="432">
        <v>0</v>
      </c>
      <c r="AY49" s="158">
        <v>0</v>
      </c>
      <c r="AZ49" s="158">
        <v>0</v>
      </c>
      <c r="BA49" s="158">
        <v>0</v>
      </c>
      <c r="BB49" s="158">
        <v>0</v>
      </c>
      <c r="BC49" s="158">
        <v>0</v>
      </c>
      <c r="BD49" s="158">
        <v>0</v>
      </c>
      <c r="BE49" s="158">
        <v>0</v>
      </c>
      <c r="BF49" s="160">
        <v>0</v>
      </c>
      <c r="BG49" s="383">
        <v>2023</v>
      </c>
      <c r="BH49" s="383">
        <v>1</v>
      </c>
      <c r="BI49" s="383">
        <v>19</v>
      </c>
      <c r="BK49" s="147" t="str">
        <f>IF(R49=SUM(Z49,AH49,AP49,AX49,BF49),"○","×")</f>
        <v>○</v>
      </c>
    </row>
    <row r="50" spans="1:63" x14ac:dyDescent="0.2">
      <c r="A50" s="428">
        <v>1057</v>
      </c>
      <c r="B50" s="429"/>
      <c r="C50" s="430"/>
      <c r="D50" s="429"/>
      <c r="E50" s="430"/>
      <c r="F50" s="429"/>
      <c r="G50" s="429"/>
      <c r="H50" s="430"/>
      <c r="I50" s="429"/>
      <c r="J50" s="429"/>
      <c r="K50" s="429"/>
      <c r="L50" s="383"/>
      <c r="M50" s="383" t="s">
        <v>426</v>
      </c>
      <c r="N50" s="383" t="s">
        <v>427</v>
      </c>
      <c r="O50" s="383" t="s">
        <v>428</v>
      </c>
      <c r="P50" s="383" t="s">
        <v>970</v>
      </c>
      <c r="Q50" s="383"/>
      <c r="R50" s="431">
        <v>293000</v>
      </c>
      <c r="S50" s="158">
        <v>0</v>
      </c>
      <c r="T50" s="158">
        <v>0</v>
      </c>
      <c r="U50" s="158">
        <v>0</v>
      </c>
      <c r="V50" s="158">
        <v>0</v>
      </c>
      <c r="W50" s="158">
        <v>0</v>
      </c>
      <c r="X50" s="158">
        <v>0</v>
      </c>
      <c r="Y50" s="158">
        <v>0</v>
      </c>
      <c r="Z50" s="158">
        <v>0</v>
      </c>
      <c r="AA50" s="432">
        <v>0</v>
      </c>
      <c r="AB50" s="432">
        <v>0</v>
      </c>
      <c r="AC50" s="432">
        <v>0</v>
      </c>
      <c r="AD50" s="432">
        <v>0</v>
      </c>
      <c r="AE50" s="432">
        <v>0</v>
      </c>
      <c r="AF50" s="432">
        <v>0</v>
      </c>
      <c r="AG50" s="432">
        <v>0</v>
      </c>
      <c r="AH50" s="432">
        <v>0</v>
      </c>
      <c r="AI50" s="158">
        <v>70652</v>
      </c>
      <c r="AJ50" s="158">
        <v>0</v>
      </c>
      <c r="AK50" s="158">
        <v>70652</v>
      </c>
      <c r="AL50" s="158">
        <v>70652</v>
      </c>
      <c r="AM50" s="158">
        <v>424800</v>
      </c>
      <c r="AN50" s="158">
        <v>70652</v>
      </c>
      <c r="AO50" s="158">
        <v>70652</v>
      </c>
      <c r="AP50" s="158">
        <v>70000</v>
      </c>
      <c r="AQ50" s="432">
        <v>0</v>
      </c>
      <c r="AR50" s="432">
        <v>0</v>
      </c>
      <c r="AS50" s="432">
        <v>0</v>
      </c>
      <c r="AT50" s="432">
        <v>0</v>
      </c>
      <c r="AU50" s="432">
        <v>0</v>
      </c>
      <c r="AV50" s="432">
        <v>0</v>
      </c>
      <c r="AW50" s="432">
        <v>0</v>
      </c>
      <c r="AX50" s="432">
        <v>0</v>
      </c>
      <c r="AY50" s="158">
        <v>223760</v>
      </c>
      <c r="AZ50" s="158">
        <v>0</v>
      </c>
      <c r="BA50" s="158">
        <v>223760</v>
      </c>
      <c r="BB50" s="158">
        <v>223760</v>
      </c>
      <c r="BC50" s="158">
        <v>223760</v>
      </c>
      <c r="BD50" s="158">
        <v>223760</v>
      </c>
      <c r="BE50" s="158">
        <v>223760</v>
      </c>
      <c r="BF50" s="160">
        <v>223000</v>
      </c>
      <c r="BG50" s="383">
        <v>2023</v>
      </c>
      <c r="BH50" s="383">
        <v>1</v>
      </c>
      <c r="BI50" s="383">
        <v>19</v>
      </c>
      <c r="BK50" s="147" t="str">
        <f>IF(R50=SUM(Z50,AH50,AP50,AX50,BF50),"○","×")</f>
        <v>○</v>
      </c>
    </row>
    <row r="51" spans="1:63" x14ac:dyDescent="0.2">
      <c r="A51" s="428">
        <v>1058</v>
      </c>
      <c r="B51" s="429"/>
      <c r="C51" s="430"/>
      <c r="D51" s="429"/>
      <c r="E51" s="430"/>
      <c r="F51" s="429"/>
      <c r="G51" s="429"/>
      <c r="H51" s="430"/>
      <c r="I51" s="429"/>
      <c r="J51" s="429"/>
      <c r="K51" s="429"/>
      <c r="L51" s="383"/>
      <c r="M51" s="383" t="s">
        <v>362</v>
      </c>
      <c r="N51" s="383" t="s">
        <v>326</v>
      </c>
      <c r="O51" s="383" t="s">
        <v>363</v>
      </c>
      <c r="P51" s="383" t="s">
        <v>970</v>
      </c>
      <c r="Q51" s="383"/>
      <c r="R51" s="431">
        <v>2629000</v>
      </c>
      <c r="S51" s="158">
        <v>0</v>
      </c>
      <c r="T51" s="158">
        <v>0</v>
      </c>
      <c r="U51" s="158">
        <v>0</v>
      </c>
      <c r="V51" s="158">
        <v>0</v>
      </c>
      <c r="W51" s="158">
        <v>0</v>
      </c>
      <c r="X51" s="158">
        <v>0</v>
      </c>
      <c r="Y51" s="158">
        <v>0</v>
      </c>
      <c r="Z51" s="158">
        <v>0</v>
      </c>
      <c r="AA51" s="432">
        <v>0</v>
      </c>
      <c r="AB51" s="432">
        <v>0</v>
      </c>
      <c r="AC51" s="432">
        <v>0</v>
      </c>
      <c r="AD51" s="432">
        <v>0</v>
      </c>
      <c r="AE51" s="432">
        <v>0</v>
      </c>
      <c r="AF51" s="432">
        <v>0</v>
      </c>
      <c r="AG51" s="432">
        <v>0</v>
      </c>
      <c r="AH51" s="432">
        <v>0</v>
      </c>
      <c r="AI51" s="158">
        <v>1600940</v>
      </c>
      <c r="AJ51" s="158">
        <v>0</v>
      </c>
      <c r="AK51" s="158">
        <v>1600940</v>
      </c>
      <c r="AL51" s="158">
        <v>1600940</v>
      </c>
      <c r="AM51" s="158">
        <v>1598400</v>
      </c>
      <c r="AN51" s="158">
        <v>1598400</v>
      </c>
      <c r="AO51" s="158">
        <v>1598400</v>
      </c>
      <c r="AP51" s="158">
        <v>1598000</v>
      </c>
      <c r="AQ51" s="432">
        <v>0</v>
      </c>
      <c r="AR51" s="432">
        <v>0</v>
      </c>
      <c r="AS51" s="432">
        <v>0</v>
      </c>
      <c r="AT51" s="432">
        <v>0</v>
      </c>
      <c r="AU51" s="432">
        <v>0</v>
      </c>
      <c r="AV51" s="432">
        <v>0</v>
      </c>
      <c r="AW51" s="432">
        <v>0</v>
      </c>
      <c r="AX51" s="432">
        <v>0</v>
      </c>
      <c r="AY51" s="158">
        <v>1031234</v>
      </c>
      <c r="AZ51" s="158">
        <v>0</v>
      </c>
      <c r="BA51" s="158">
        <v>1031234</v>
      </c>
      <c r="BB51" s="158">
        <v>1031234</v>
      </c>
      <c r="BC51" s="158">
        <v>1031234</v>
      </c>
      <c r="BD51" s="158">
        <v>1031234</v>
      </c>
      <c r="BE51" s="158">
        <v>1031234</v>
      </c>
      <c r="BF51" s="160">
        <v>1031000</v>
      </c>
      <c r="BG51" s="383">
        <v>2023</v>
      </c>
      <c r="BH51" s="383">
        <v>1</v>
      </c>
      <c r="BI51" s="383">
        <v>19</v>
      </c>
      <c r="BK51" s="147" t="str">
        <f>IF(R51=SUM(Z51,AH51,AP51,AX51,BF51),"○","×")</f>
        <v>○</v>
      </c>
    </row>
    <row r="52" spans="1:63" x14ac:dyDescent="0.2">
      <c r="A52" s="428">
        <v>1060</v>
      </c>
      <c r="B52" s="429"/>
      <c r="C52" s="430"/>
      <c r="D52" s="429"/>
      <c r="E52" s="430"/>
      <c r="F52" s="429"/>
      <c r="G52" s="429"/>
      <c r="H52" s="430"/>
      <c r="I52" s="429"/>
      <c r="J52" s="429"/>
      <c r="K52" s="429"/>
      <c r="L52" s="383"/>
      <c r="M52" s="383" t="s">
        <v>429</v>
      </c>
      <c r="N52" s="383" t="s">
        <v>367</v>
      </c>
      <c r="O52" s="383" t="s">
        <v>430</v>
      </c>
      <c r="P52" s="383" t="s">
        <v>970</v>
      </c>
      <c r="Q52" s="383"/>
      <c r="R52" s="431">
        <v>269000</v>
      </c>
      <c r="S52" s="158">
        <v>0</v>
      </c>
      <c r="T52" s="158">
        <v>0</v>
      </c>
      <c r="U52" s="158">
        <v>0</v>
      </c>
      <c r="V52" s="158">
        <v>0</v>
      </c>
      <c r="W52" s="158">
        <v>0</v>
      </c>
      <c r="X52" s="158">
        <v>0</v>
      </c>
      <c r="Y52" s="158">
        <v>0</v>
      </c>
      <c r="Z52" s="158">
        <v>0</v>
      </c>
      <c r="AA52" s="432">
        <v>0</v>
      </c>
      <c r="AB52" s="432">
        <v>0</v>
      </c>
      <c r="AC52" s="432">
        <v>0</v>
      </c>
      <c r="AD52" s="432">
        <v>0</v>
      </c>
      <c r="AE52" s="432">
        <v>0</v>
      </c>
      <c r="AF52" s="432">
        <v>0</v>
      </c>
      <c r="AG52" s="432">
        <v>0</v>
      </c>
      <c r="AH52" s="432">
        <v>0</v>
      </c>
      <c r="AI52" s="158">
        <v>0</v>
      </c>
      <c r="AJ52" s="158">
        <v>0</v>
      </c>
      <c r="AK52" s="158">
        <v>0</v>
      </c>
      <c r="AL52" s="158">
        <v>0</v>
      </c>
      <c r="AM52" s="158">
        <v>0</v>
      </c>
      <c r="AN52" s="158">
        <v>0</v>
      </c>
      <c r="AO52" s="158">
        <v>0</v>
      </c>
      <c r="AP52" s="158">
        <v>0</v>
      </c>
      <c r="AQ52" s="432">
        <v>0</v>
      </c>
      <c r="AR52" s="432">
        <v>0</v>
      </c>
      <c r="AS52" s="432">
        <v>0</v>
      </c>
      <c r="AT52" s="432">
        <v>0</v>
      </c>
      <c r="AU52" s="432">
        <v>0</v>
      </c>
      <c r="AV52" s="432">
        <v>0</v>
      </c>
      <c r="AW52" s="432">
        <v>0</v>
      </c>
      <c r="AX52" s="432">
        <v>0</v>
      </c>
      <c r="AY52" s="158">
        <v>269300</v>
      </c>
      <c r="AZ52" s="158">
        <v>0</v>
      </c>
      <c r="BA52" s="158">
        <v>269300</v>
      </c>
      <c r="BB52" s="158">
        <v>269300</v>
      </c>
      <c r="BC52" s="158">
        <v>269300</v>
      </c>
      <c r="BD52" s="158">
        <v>269300</v>
      </c>
      <c r="BE52" s="158">
        <v>269300</v>
      </c>
      <c r="BF52" s="160">
        <v>269000</v>
      </c>
      <c r="BG52" s="383">
        <v>2023</v>
      </c>
      <c r="BH52" s="383">
        <v>1</v>
      </c>
      <c r="BI52" s="383">
        <v>19</v>
      </c>
      <c r="BK52" s="147" t="str">
        <f>IF(R52=SUM(Z52,AH52,AP52,AX52,BF52),"○","×")</f>
        <v>○</v>
      </c>
    </row>
    <row r="53" spans="1:63" x14ac:dyDescent="0.2">
      <c r="A53" s="428">
        <v>1061</v>
      </c>
      <c r="B53" s="429"/>
      <c r="C53" s="430"/>
      <c r="D53" s="429"/>
      <c r="E53" s="430"/>
      <c r="F53" s="429"/>
      <c r="G53" s="429"/>
      <c r="H53" s="430"/>
      <c r="I53" s="429"/>
      <c r="J53" s="429"/>
      <c r="K53" s="429"/>
      <c r="L53" s="383"/>
      <c r="M53" s="383" t="s">
        <v>431</v>
      </c>
      <c r="N53" s="383" t="s">
        <v>340</v>
      </c>
      <c r="O53" s="383" t="s">
        <v>432</v>
      </c>
      <c r="P53" s="383" t="s">
        <v>970</v>
      </c>
      <c r="Q53" s="383"/>
      <c r="R53" s="431">
        <v>552000</v>
      </c>
      <c r="S53" s="158">
        <v>0</v>
      </c>
      <c r="T53" s="158">
        <v>0</v>
      </c>
      <c r="U53" s="158">
        <v>0</v>
      </c>
      <c r="V53" s="158">
        <v>0</v>
      </c>
      <c r="W53" s="158">
        <v>0</v>
      </c>
      <c r="X53" s="158">
        <v>0</v>
      </c>
      <c r="Y53" s="158">
        <v>0</v>
      </c>
      <c r="Z53" s="158">
        <v>0</v>
      </c>
      <c r="AA53" s="432">
        <v>409860</v>
      </c>
      <c r="AB53" s="432">
        <v>0</v>
      </c>
      <c r="AC53" s="432">
        <v>409860</v>
      </c>
      <c r="AD53" s="432">
        <v>409860</v>
      </c>
      <c r="AE53" s="432">
        <v>410000</v>
      </c>
      <c r="AF53" s="432">
        <v>409860</v>
      </c>
      <c r="AG53" s="432">
        <v>409860</v>
      </c>
      <c r="AH53" s="432">
        <v>409000</v>
      </c>
      <c r="AI53" s="158">
        <v>143110</v>
      </c>
      <c r="AJ53" s="158">
        <v>0</v>
      </c>
      <c r="AK53" s="158">
        <v>143110</v>
      </c>
      <c r="AL53" s="158">
        <v>143110</v>
      </c>
      <c r="AM53" s="158">
        <v>2592000</v>
      </c>
      <c r="AN53" s="158">
        <v>143110</v>
      </c>
      <c r="AO53" s="158">
        <v>143110</v>
      </c>
      <c r="AP53" s="158">
        <v>143000</v>
      </c>
      <c r="AQ53" s="432">
        <v>0</v>
      </c>
      <c r="AR53" s="432">
        <v>0</v>
      </c>
      <c r="AS53" s="432">
        <v>0</v>
      </c>
      <c r="AT53" s="432">
        <v>0</v>
      </c>
      <c r="AU53" s="432">
        <v>0</v>
      </c>
      <c r="AV53" s="432">
        <v>0</v>
      </c>
      <c r="AW53" s="432">
        <v>0</v>
      </c>
      <c r="AX53" s="432">
        <v>0</v>
      </c>
      <c r="AY53" s="158">
        <v>0</v>
      </c>
      <c r="AZ53" s="158">
        <v>0</v>
      </c>
      <c r="BA53" s="158">
        <v>0</v>
      </c>
      <c r="BB53" s="158">
        <v>0</v>
      </c>
      <c r="BC53" s="158">
        <v>0</v>
      </c>
      <c r="BD53" s="158">
        <v>0</v>
      </c>
      <c r="BE53" s="158">
        <v>0</v>
      </c>
      <c r="BF53" s="160">
        <v>0</v>
      </c>
      <c r="BG53" s="383">
        <v>2023</v>
      </c>
      <c r="BH53" s="383">
        <v>1</v>
      </c>
      <c r="BI53" s="383">
        <v>19</v>
      </c>
      <c r="BK53" s="147" t="str">
        <f>IF(R53=SUM(Z53,AH53,AP53,AX53,BF53),"○","×")</f>
        <v>○</v>
      </c>
    </row>
    <row r="54" spans="1:63" x14ac:dyDescent="0.2">
      <c r="A54" s="428">
        <v>1062</v>
      </c>
      <c r="B54" s="429"/>
      <c r="C54" s="430"/>
      <c r="D54" s="429"/>
      <c r="E54" s="430"/>
      <c r="F54" s="429"/>
      <c r="G54" s="429"/>
      <c r="H54" s="430"/>
      <c r="I54" s="429"/>
      <c r="J54" s="429"/>
      <c r="K54" s="429"/>
      <c r="L54" s="383"/>
      <c r="M54" s="383" t="s">
        <v>433</v>
      </c>
      <c r="N54" s="383" t="s">
        <v>326</v>
      </c>
      <c r="O54" s="383" t="s">
        <v>434</v>
      </c>
      <c r="P54" s="383" t="s">
        <v>970</v>
      </c>
      <c r="Q54" s="383"/>
      <c r="R54" s="431">
        <v>530000</v>
      </c>
      <c r="S54" s="158">
        <v>0</v>
      </c>
      <c r="T54" s="158">
        <v>0</v>
      </c>
      <c r="U54" s="158">
        <v>0</v>
      </c>
      <c r="V54" s="158">
        <v>0</v>
      </c>
      <c r="W54" s="158">
        <v>0</v>
      </c>
      <c r="X54" s="158">
        <v>0</v>
      </c>
      <c r="Y54" s="158">
        <v>0</v>
      </c>
      <c r="Z54" s="158">
        <v>0</v>
      </c>
      <c r="AA54" s="432">
        <v>0</v>
      </c>
      <c r="AB54" s="432">
        <v>0</v>
      </c>
      <c r="AC54" s="432">
        <v>0</v>
      </c>
      <c r="AD54" s="432">
        <v>0</v>
      </c>
      <c r="AE54" s="432">
        <v>0</v>
      </c>
      <c r="AF54" s="432">
        <v>0</v>
      </c>
      <c r="AG54" s="432">
        <v>0</v>
      </c>
      <c r="AH54" s="432">
        <v>0</v>
      </c>
      <c r="AI54" s="158">
        <v>0</v>
      </c>
      <c r="AJ54" s="158">
        <v>0</v>
      </c>
      <c r="AK54" s="158">
        <v>0</v>
      </c>
      <c r="AL54" s="158">
        <v>0</v>
      </c>
      <c r="AM54" s="158">
        <v>0</v>
      </c>
      <c r="AN54" s="158">
        <v>0</v>
      </c>
      <c r="AO54" s="158">
        <v>0</v>
      </c>
      <c r="AP54" s="158">
        <v>0</v>
      </c>
      <c r="AQ54" s="432">
        <v>0</v>
      </c>
      <c r="AR54" s="432">
        <v>0</v>
      </c>
      <c r="AS54" s="432">
        <v>0</v>
      </c>
      <c r="AT54" s="432">
        <v>0</v>
      </c>
      <c r="AU54" s="432">
        <v>0</v>
      </c>
      <c r="AV54" s="432">
        <v>0</v>
      </c>
      <c r="AW54" s="432">
        <v>0</v>
      </c>
      <c r="AX54" s="432">
        <v>0</v>
      </c>
      <c r="AY54" s="158">
        <v>530783</v>
      </c>
      <c r="AZ54" s="158">
        <v>0</v>
      </c>
      <c r="BA54" s="158">
        <v>530783</v>
      </c>
      <c r="BB54" s="158">
        <v>530783</v>
      </c>
      <c r="BC54" s="158">
        <v>530783</v>
      </c>
      <c r="BD54" s="158">
        <v>530783</v>
      </c>
      <c r="BE54" s="158">
        <v>530783</v>
      </c>
      <c r="BF54" s="160">
        <v>530000</v>
      </c>
      <c r="BG54" s="383">
        <v>2023</v>
      </c>
      <c r="BH54" s="383">
        <v>1</v>
      </c>
      <c r="BI54" s="383">
        <v>19</v>
      </c>
      <c r="BK54" s="147" t="str">
        <f>IF(R54=SUM(Z54,AH54,AP54,AX54,BF54),"○","×")</f>
        <v>○</v>
      </c>
    </row>
    <row r="55" spans="1:63" x14ac:dyDescent="0.2">
      <c r="A55" s="428">
        <v>1063</v>
      </c>
      <c r="B55" s="429"/>
      <c r="C55" s="430"/>
      <c r="D55" s="429"/>
      <c r="E55" s="430"/>
      <c r="F55" s="429"/>
      <c r="G55" s="429"/>
      <c r="H55" s="430"/>
      <c r="I55" s="429"/>
      <c r="J55" s="429"/>
      <c r="K55" s="429"/>
      <c r="L55" s="383"/>
      <c r="M55" s="383" t="s">
        <v>435</v>
      </c>
      <c r="N55" s="383" t="s">
        <v>323</v>
      </c>
      <c r="O55" s="383" t="s">
        <v>336</v>
      </c>
      <c r="P55" s="383" t="s">
        <v>970</v>
      </c>
      <c r="Q55" s="383"/>
      <c r="R55" s="431">
        <v>356000</v>
      </c>
      <c r="S55" s="158">
        <v>0</v>
      </c>
      <c r="T55" s="158">
        <v>0</v>
      </c>
      <c r="U55" s="158">
        <v>0</v>
      </c>
      <c r="V55" s="158">
        <v>0</v>
      </c>
      <c r="W55" s="158">
        <v>0</v>
      </c>
      <c r="X55" s="158">
        <v>0</v>
      </c>
      <c r="Y55" s="158">
        <v>0</v>
      </c>
      <c r="Z55" s="158">
        <v>0</v>
      </c>
      <c r="AA55" s="432">
        <v>341000</v>
      </c>
      <c r="AB55" s="432">
        <v>0</v>
      </c>
      <c r="AC55" s="432">
        <v>341000</v>
      </c>
      <c r="AD55" s="432">
        <v>341000</v>
      </c>
      <c r="AE55" s="432">
        <v>205000</v>
      </c>
      <c r="AF55" s="432">
        <v>205000</v>
      </c>
      <c r="AG55" s="432">
        <v>205000</v>
      </c>
      <c r="AH55" s="432">
        <v>205000</v>
      </c>
      <c r="AI55" s="158">
        <v>151100</v>
      </c>
      <c r="AJ55" s="158">
        <v>0</v>
      </c>
      <c r="AK55" s="158">
        <v>151100</v>
      </c>
      <c r="AL55" s="158">
        <v>151100</v>
      </c>
      <c r="AM55" s="158">
        <v>2484000</v>
      </c>
      <c r="AN55" s="158">
        <v>151100</v>
      </c>
      <c r="AO55" s="158">
        <v>151100</v>
      </c>
      <c r="AP55" s="158">
        <v>151000</v>
      </c>
      <c r="AQ55" s="432">
        <v>0</v>
      </c>
      <c r="AR55" s="432">
        <v>0</v>
      </c>
      <c r="AS55" s="432">
        <v>0</v>
      </c>
      <c r="AT55" s="432">
        <v>0</v>
      </c>
      <c r="AU55" s="432">
        <v>0</v>
      </c>
      <c r="AV55" s="432">
        <v>0</v>
      </c>
      <c r="AW55" s="432">
        <v>0</v>
      </c>
      <c r="AX55" s="432">
        <v>0</v>
      </c>
      <c r="AY55" s="158">
        <v>0</v>
      </c>
      <c r="AZ55" s="158">
        <v>0</v>
      </c>
      <c r="BA55" s="158">
        <v>0</v>
      </c>
      <c r="BB55" s="158">
        <v>0</v>
      </c>
      <c r="BC55" s="158">
        <v>0</v>
      </c>
      <c r="BD55" s="158">
        <v>0</v>
      </c>
      <c r="BE55" s="158">
        <v>0</v>
      </c>
      <c r="BF55" s="160">
        <v>0</v>
      </c>
      <c r="BG55" s="383">
        <v>2023</v>
      </c>
      <c r="BH55" s="383">
        <v>1</v>
      </c>
      <c r="BI55" s="383">
        <v>19</v>
      </c>
      <c r="BK55" s="147" t="str">
        <f>IF(R55=SUM(Z55,AH55,AP55,AX55,BF55),"○","×")</f>
        <v>○</v>
      </c>
    </row>
    <row r="56" spans="1:63" x14ac:dyDescent="0.2">
      <c r="A56" s="428">
        <v>1064</v>
      </c>
      <c r="B56" s="429"/>
      <c r="C56" s="430"/>
      <c r="D56" s="429"/>
      <c r="E56" s="430"/>
      <c r="F56" s="429"/>
      <c r="G56" s="429"/>
      <c r="H56" s="430"/>
      <c r="I56" s="429"/>
      <c r="J56" s="429"/>
      <c r="K56" s="429"/>
      <c r="L56" s="383"/>
      <c r="M56" s="383" t="s">
        <v>436</v>
      </c>
      <c r="N56" s="383" t="s">
        <v>340</v>
      </c>
      <c r="O56" s="383" t="s">
        <v>437</v>
      </c>
      <c r="P56" s="383" t="s">
        <v>970</v>
      </c>
      <c r="Q56" s="383"/>
      <c r="R56" s="431">
        <v>1426000</v>
      </c>
      <c r="S56" s="158">
        <v>0</v>
      </c>
      <c r="T56" s="158">
        <v>0</v>
      </c>
      <c r="U56" s="158">
        <v>0</v>
      </c>
      <c r="V56" s="158">
        <v>0</v>
      </c>
      <c r="W56" s="158">
        <v>0</v>
      </c>
      <c r="X56" s="158">
        <v>0</v>
      </c>
      <c r="Y56" s="158">
        <v>0</v>
      </c>
      <c r="Z56" s="158">
        <v>0</v>
      </c>
      <c r="AA56" s="432">
        <v>0</v>
      </c>
      <c r="AB56" s="432">
        <v>0</v>
      </c>
      <c r="AC56" s="432">
        <v>0</v>
      </c>
      <c r="AD56" s="432">
        <v>0</v>
      </c>
      <c r="AE56" s="432">
        <v>0</v>
      </c>
      <c r="AF56" s="432">
        <v>0</v>
      </c>
      <c r="AG56" s="432">
        <v>0</v>
      </c>
      <c r="AH56" s="432">
        <v>0</v>
      </c>
      <c r="AI56" s="158">
        <v>926750</v>
      </c>
      <c r="AJ56" s="158">
        <v>0</v>
      </c>
      <c r="AK56" s="158">
        <v>926750</v>
      </c>
      <c r="AL56" s="158">
        <v>926750</v>
      </c>
      <c r="AM56" s="158">
        <v>4320000</v>
      </c>
      <c r="AN56" s="158">
        <v>926750</v>
      </c>
      <c r="AO56" s="158">
        <v>926750</v>
      </c>
      <c r="AP56" s="158">
        <v>926000</v>
      </c>
      <c r="AQ56" s="432">
        <v>0</v>
      </c>
      <c r="AR56" s="432">
        <v>0</v>
      </c>
      <c r="AS56" s="432">
        <v>0</v>
      </c>
      <c r="AT56" s="432">
        <v>0</v>
      </c>
      <c r="AU56" s="432">
        <v>0</v>
      </c>
      <c r="AV56" s="432">
        <v>0</v>
      </c>
      <c r="AW56" s="432">
        <v>0</v>
      </c>
      <c r="AX56" s="432">
        <v>0</v>
      </c>
      <c r="AY56" s="158">
        <v>500500</v>
      </c>
      <c r="AZ56" s="158">
        <v>0</v>
      </c>
      <c r="BA56" s="158">
        <v>500500</v>
      </c>
      <c r="BB56" s="158">
        <v>500500</v>
      </c>
      <c r="BC56" s="158">
        <v>500500</v>
      </c>
      <c r="BD56" s="158">
        <v>500500</v>
      </c>
      <c r="BE56" s="158">
        <v>500500</v>
      </c>
      <c r="BF56" s="160">
        <v>500000</v>
      </c>
      <c r="BG56" s="383">
        <v>2023</v>
      </c>
      <c r="BH56" s="383">
        <v>1</v>
      </c>
      <c r="BI56" s="383">
        <v>19</v>
      </c>
      <c r="BK56" s="147" t="str">
        <f>IF(R56=SUM(Z56,AH56,AP56,AX56,BF56),"○","×")</f>
        <v>○</v>
      </c>
    </row>
    <row r="57" spans="1:63" x14ac:dyDescent="0.2">
      <c r="A57" s="428">
        <v>1065</v>
      </c>
      <c r="B57" s="429"/>
      <c r="C57" s="430"/>
      <c r="D57" s="429"/>
      <c r="E57" s="430"/>
      <c r="F57" s="429"/>
      <c r="G57" s="429"/>
      <c r="H57" s="430"/>
      <c r="I57" s="429"/>
      <c r="J57" s="429"/>
      <c r="K57" s="429"/>
      <c r="L57" s="383"/>
      <c r="M57" s="383" t="s">
        <v>438</v>
      </c>
      <c r="N57" s="383" t="s">
        <v>329</v>
      </c>
      <c r="O57" s="383" t="s">
        <v>439</v>
      </c>
      <c r="P57" s="383" t="s">
        <v>970</v>
      </c>
      <c r="Q57" s="383"/>
      <c r="R57" s="431">
        <v>1690000</v>
      </c>
      <c r="S57" s="158">
        <v>0</v>
      </c>
      <c r="T57" s="158">
        <v>0</v>
      </c>
      <c r="U57" s="158">
        <v>0</v>
      </c>
      <c r="V57" s="158">
        <v>0</v>
      </c>
      <c r="W57" s="158">
        <v>0</v>
      </c>
      <c r="X57" s="158">
        <v>0</v>
      </c>
      <c r="Y57" s="158">
        <v>0</v>
      </c>
      <c r="Z57" s="158">
        <v>0</v>
      </c>
      <c r="AA57" s="432">
        <v>561000</v>
      </c>
      <c r="AB57" s="432">
        <v>0</v>
      </c>
      <c r="AC57" s="432">
        <v>561000</v>
      </c>
      <c r="AD57" s="432">
        <v>561000</v>
      </c>
      <c r="AE57" s="432">
        <v>615000</v>
      </c>
      <c r="AF57" s="432">
        <v>561000</v>
      </c>
      <c r="AG57" s="432">
        <v>561000</v>
      </c>
      <c r="AH57" s="432">
        <v>561000</v>
      </c>
      <c r="AI57" s="158">
        <v>1129232</v>
      </c>
      <c r="AJ57" s="158">
        <v>0</v>
      </c>
      <c r="AK57" s="158">
        <v>1129232</v>
      </c>
      <c r="AL57" s="158">
        <v>1129232</v>
      </c>
      <c r="AM57" s="158">
        <v>3542400</v>
      </c>
      <c r="AN57" s="158">
        <v>1129232</v>
      </c>
      <c r="AO57" s="158">
        <v>1129232</v>
      </c>
      <c r="AP57" s="158">
        <v>1129000</v>
      </c>
      <c r="AQ57" s="432">
        <v>0</v>
      </c>
      <c r="AR57" s="432">
        <v>0</v>
      </c>
      <c r="AS57" s="432">
        <v>0</v>
      </c>
      <c r="AT57" s="432">
        <v>0</v>
      </c>
      <c r="AU57" s="432">
        <v>0</v>
      </c>
      <c r="AV57" s="432">
        <v>0</v>
      </c>
      <c r="AW57" s="432">
        <v>0</v>
      </c>
      <c r="AX57" s="432">
        <v>0</v>
      </c>
      <c r="AY57" s="158">
        <v>0</v>
      </c>
      <c r="AZ57" s="158">
        <v>0</v>
      </c>
      <c r="BA57" s="158">
        <v>0</v>
      </c>
      <c r="BB57" s="158">
        <v>0</v>
      </c>
      <c r="BC57" s="158">
        <v>0</v>
      </c>
      <c r="BD57" s="158">
        <v>0</v>
      </c>
      <c r="BE57" s="158">
        <v>0</v>
      </c>
      <c r="BF57" s="160">
        <v>0</v>
      </c>
      <c r="BG57" s="383">
        <v>2023</v>
      </c>
      <c r="BH57" s="383">
        <v>1</v>
      </c>
      <c r="BI57" s="383">
        <v>19</v>
      </c>
      <c r="BK57" s="147" t="str">
        <f>IF(R57=SUM(Z57,AH57,AP57,AX57,BF57),"○","×")</f>
        <v>○</v>
      </c>
    </row>
    <row r="58" spans="1:63" x14ac:dyDescent="0.2">
      <c r="A58" s="428">
        <v>1067</v>
      </c>
      <c r="B58" s="429"/>
      <c r="C58" s="430"/>
      <c r="D58" s="429"/>
      <c r="E58" s="430"/>
      <c r="F58" s="429"/>
      <c r="G58" s="429"/>
      <c r="H58" s="430"/>
      <c r="I58" s="429"/>
      <c r="J58" s="429"/>
      <c r="K58" s="429"/>
      <c r="L58" s="383"/>
      <c r="M58" s="383" t="s">
        <v>440</v>
      </c>
      <c r="N58" s="383" t="s">
        <v>323</v>
      </c>
      <c r="O58" s="383" t="s">
        <v>441</v>
      </c>
      <c r="P58" s="383" t="s">
        <v>970</v>
      </c>
      <c r="Q58" s="383"/>
      <c r="R58" s="431">
        <v>1755000</v>
      </c>
      <c r="S58" s="158">
        <v>0</v>
      </c>
      <c r="T58" s="158">
        <v>0</v>
      </c>
      <c r="U58" s="158">
        <v>0</v>
      </c>
      <c r="V58" s="158">
        <v>0</v>
      </c>
      <c r="W58" s="158">
        <v>0</v>
      </c>
      <c r="X58" s="158">
        <v>0</v>
      </c>
      <c r="Y58" s="158">
        <v>0</v>
      </c>
      <c r="Z58" s="158">
        <v>0</v>
      </c>
      <c r="AA58" s="432">
        <v>0</v>
      </c>
      <c r="AB58" s="432">
        <v>0</v>
      </c>
      <c r="AC58" s="432">
        <v>0</v>
      </c>
      <c r="AD58" s="432">
        <v>0</v>
      </c>
      <c r="AE58" s="432">
        <v>0</v>
      </c>
      <c r="AF58" s="432">
        <v>0</v>
      </c>
      <c r="AG58" s="432">
        <v>0</v>
      </c>
      <c r="AH58" s="432">
        <v>0</v>
      </c>
      <c r="AI58" s="158">
        <v>1549221</v>
      </c>
      <c r="AJ58" s="158">
        <v>0</v>
      </c>
      <c r="AK58" s="158">
        <v>1549221</v>
      </c>
      <c r="AL58" s="158">
        <v>1549221</v>
      </c>
      <c r="AM58" s="158">
        <v>3931200</v>
      </c>
      <c r="AN58" s="158">
        <v>1549221</v>
      </c>
      <c r="AO58" s="158">
        <v>1549221</v>
      </c>
      <c r="AP58" s="158">
        <v>1549000</v>
      </c>
      <c r="AQ58" s="432">
        <v>0</v>
      </c>
      <c r="AR58" s="432">
        <v>0</v>
      </c>
      <c r="AS58" s="432">
        <v>0</v>
      </c>
      <c r="AT58" s="432">
        <v>0</v>
      </c>
      <c r="AU58" s="432">
        <v>0</v>
      </c>
      <c r="AV58" s="432">
        <v>0</v>
      </c>
      <c r="AW58" s="432">
        <v>0</v>
      </c>
      <c r="AX58" s="432">
        <v>0</v>
      </c>
      <c r="AY58" s="158">
        <v>206800</v>
      </c>
      <c r="AZ58" s="158">
        <v>0</v>
      </c>
      <c r="BA58" s="158">
        <v>206800</v>
      </c>
      <c r="BB58" s="158">
        <v>206800</v>
      </c>
      <c r="BC58" s="158">
        <v>206800</v>
      </c>
      <c r="BD58" s="158">
        <v>206800</v>
      </c>
      <c r="BE58" s="158">
        <v>206800</v>
      </c>
      <c r="BF58" s="160">
        <v>206000</v>
      </c>
      <c r="BG58" s="383">
        <v>2023</v>
      </c>
      <c r="BH58" s="383">
        <v>1</v>
      </c>
      <c r="BI58" s="383">
        <v>19</v>
      </c>
      <c r="BK58" s="147" t="str">
        <f>IF(R58=SUM(Z58,AH58,AP58,AX58,BF58),"○","×")</f>
        <v>○</v>
      </c>
    </row>
    <row r="59" spans="1:63" x14ac:dyDescent="0.2">
      <c r="A59" s="428">
        <v>1069</v>
      </c>
      <c r="B59" s="429"/>
      <c r="C59" s="430"/>
      <c r="D59" s="429"/>
      <c r="E59" s="430"/>
      <c r="F59" s="429"/>
      <c r="G59" s="429"/>
      <c r="H59" s="430"/>
      <c r="I59" s="429"/>
      <c r="J59" s="429"/>
      <c r="K59" s="429"/>
      <c r="L59" s="383"/>
      <c r="M59" s="383" t="s">
        <v>442</v>
      </c>
      <c r="N59" s="383" t="s">
        <v>323</v>
      </c>
      <c r="O59" s="383" t="s">
        <v>443</v>
      </c>
      <c r="P59" s="383" t="s">
        <v>970</v>
      </c>
      <c r="Q59" s="383"/>
      <c r="R59" s="431">
        <v>198000</v>
      </c>
      <c r="S59" s="158">
        <v>0</v>
      </c>
      <c r="T59" s="158">
        <v>0</v>
      </c>
      <c r="U59" s="158">
        <v>0</v>
      </c>
      <c r="V59" s="158">
        <v>0</v>
      </c>
      <c r="W59" s="158">
        <v>0</v>
      </c>
      <c r="X59" s="158">
        <v>0</v>
      </c>
      <c r="Y59" s="158">
        <v>0</v>
      </c>
      <c r="Z59" s="158">
        <v>0</v>
      </c>
      <c r="AA59" s="432">
        <v>198000</v>
      </c>
      <c r="AB59" s="432">
        <v>0</v>
      </c>
      <c r="AC59" s="432">
        <v>198000</v>
      </c>
      <c r="AD59" s="432">
        <v>198000</v>
      </c>
      <c r="AE59" s="432">
        <v>205000</v>
      </c>
      <c r="AF59" s="432">
        <v>198000</v>
      </c>
      <c r="AG59" s="432">
        <v>198000</v>
      </c>
      <c r="AH59" s="432">
        <v>198000</v>
      </c>
      <c r="AI59" s="158">
        <v>0</v>
      </c>
      <c r="AJ59" s="158">
        <v>0</v>
      </c>
      <c r="AK59" s="158">
        <v>0</v>
      </c>
      <c r="AL59" s="158">
        <v>0</v>
      </c>
      <c r="AM59" s="158">
        <v>0</v>
      </c>
      <c r="AN59" s="158">
        <v>0</v>
      </c>
      <c r="AO59" s="158">
        <v>0</v>
      </c>
      <c r="AP59" s="158">
        <v>0</v>
      </c>
      <c r="AQ59" s="432">
        <v>0</v>
      </c>
      <c r="AR59" s="432">
        <v>0</v>
      </c>
      <c r="AS59" s="432">
        <v>0</v>
      </c>
      <c r="AT59" s="432">
        <v>0</v>
      </c>
      <c r="AU59" s="432">
        <v>0</v>
      </c>
      <c r="AV59" s="432">
        <v>0</v>
      </c>
      <c r="AW59" s="432">
        <v>0</v>
      </c>
      <c r="AX59" s="432">
        <v>0</v>
      </c>
      <c r="AY59" s="158">
        <v>0</v>
      </c>
      <c r="AZ59" s="158">
        <v>0</v>
      </c>
      <c r="BA59" s="158">
        <v>0</v>
      </c>
      <c r="BB59" s="158">
        <v>0</v>
      </c>
      <c r="BC59" s="158">
        <v>0</v>
      </c>
      <c r="BD59" s="158">
        <v>0</v>
      </c>
      <c r="BE59" s="158">
        <v>0</v>
      </c>
      <c r="BF59" s="160">
        <v>0</v>
      </c>
      <c r="BG59" s="383">
        <v>2023</v>
      </c>
      <c r="BH59" s="383">
        <v>1</v>
      </c>
      <c r="BI59" s="383">
        <v>19</v>
      </c>
      <c r="BK59" s="147" t="str">
        <f>IF(R59=SUM(Z59,AH59,AP59,AX59,BF59),"○","×")</f>
        <v>○</v>
      </c>
    </row>
    <row r="60" spans="1:63" x14ac:dyDescent="0.2">
      <c r="A60" s="428">
        <v>1070</v>
      </c>
      <c r="B60" s="429"/>
      <c r="C60" s="430"/>
      <c r="D60" s="429"/>
      <c r="E60" s="430"/>
      <c r="F60" s="429"/>
      <c r="G60" s="429"/>
      <c r="H60" s="430"/>
      <c r="I60" s="429"/>
      <c r="J60" s="429"/>
      <c r="K60" s="429"/>
      <c r="L60" s="383"/>
      <c r="M60" s="383" t="s">
        <v>322</v>
      </c>
      <c r="N60" s="383" t="s">
        <v>323</v>
      </c>
      <c r="O60" s="383" t="s">
        <v>324</v>
      </c>
      <c r="P60" s="383" t="s">
        <v>970</v>
      </c>
      <c r="Q60" s="383"/>
      <c r="R60" s="431">
        <v>33000</v>
      </c>
      <c r="S60" s="158">
        <v>0</v>
      </c>
      <c r="T60" s="158">
        <v>0</v>
      </c>
      <c r="U60" s="158">
        <v>0</v>
      </c>
      <c r="V60" s="158">
        <v>0</v>
      </c>
      <c r="W60" s="158">
        <v>0</v>
      </c>
      <c r="X60" s="158">
        <v>0</v>
      </c>
      <c r="Y60" s="158">
        <v>0</v>
      </c>
      <c r="Z60" s="158">
        <v>0</v>
      </c>
      <c r="AA60" s="432">
        <v>0</v>
      </c>
      <c r="AB60" s="432">
        <v>0</v>
      </c>
      <c r="AC60" s="432">
        <v>0</v>
      </c>
      <c r="AD60" s="432">
        <v>0</v>
      </c>
      <c r="AE60" s="432">
        <v>0</v>
      </c>
      <c r="AF60" s="432">
        <v>0</v>
      </c>
      <c r="AG60" s="432">
        <v>0</v>
      </c>
      <c r="AH60" s="432">
        <v>0</v>
      </c>
      <c r="AI60" s="158">
        <v>33513</v>
      </c>
      <c r="AJ60" s="158">
        <v>0</v>
      </c>
      <c r="AK60" s="158">
        <v>33513</v>
      </c>
      <c r="AL60" s="158">
        <v>33513</v>
      </c>
      <c r="AM60" s="158">
        <v>1022400</v>
      </c>
      <c r="AN60" s="158">
        <v>33513</v>
      </c>
      <c r="AO60" s="158">
        <v>33513</v>
      </c>
      <c r="AP60" s="158">
        <v>33000</v>
      </c>
      <c r="AQ60" s="432">
        <v>0</v>
      </c>
      <c r="AR60" s="432">
        <v>0</v>
      </c>
      <c r="AS60" s="432">
        <v>0</v>
      </c>
      <c r="AT60" s="432">
        <v>0</v>
      </c>
      <c r="AU60" s="432">
        <v>0</v>
      </c>
      <c r="AV60" s="432">
        <v>0</v>
      </c>
      <c r="AW60" s="432">
        <v>0</v>
      </c>
      <c r="AX60" s="432">
        <v>0</v>
      </c>
      <c r="AY60" s="158">
        <v>0</v>
      </c>
      <c r="AZ60" s="158">
        <v>0</v>
      </c>
      <c r="BA60" s="158">
        <v>0</v>
      </c>
      <c r="BB60" s="158">
        <v>0</v>
      </c>
      <c r="BC60" s="158">
        <v>0</v>
      </c>
      <c r="BD60" s="158">
        <v>0</v>
      </c>
      <c r="BE60" s="158">
        <v>0</v>
      </c>
      <c r="BF60" s="160">
        <v>0</v>
      </c>
      <c r="BG60" s="383">
        <v>2023</v>
      </c>
      <c r="BH60" s="383">
        <v>1</v>
      </c>
      <c r="BI60" s="383">
        <v>19</v>
      </c>
      <c r="BK60" s="147" t="str">
        <f>IF(R60=SUM(Z60,AH60,AP60,AX60,BF60),"○","×")</f>
        <v>○</v>
      </c>
    </row>
    <row r="61" spans="1:63" x14ac:dyDescent="0.2">
      <c r="A61" s="428">
        <v>1071</v>
      </c>
      <c r="B61" s="429"/>
      <c r="C61" s="430"/>
      <c r="D61" s="429"/>
      <c r="E61" s="430"/>
      <c r="F61" s="429"/>
      <c r="G61" s="429"/>
      <c r="H61" s="430"/>
      <c r="I61" s="429"/>
      <c r="J61" s="429"/>
      <c r="K61" s="429"/>
      <c r="L61" s="383"/>
      <c r="M61" s="383" t="s">
        <v>444</v>
      </c>
      <c r="N61" s="383" t="s">
        <v>323</v>
      </c>
      <c r="O61" s="383" t="s">
        <v>445</v>
      </c>
      <c r="P61" s="383" t="s">
        <v>970</v>
      </c>
      <c r="Q61" s="383"/>
      <c r="R61" s="431">
        <v>142000</v>
      </c>
      <c r="S61" s="158">
        <v>0</v>
      </c>
      <c r="T61" s="158">
        <v>0</v>
      </c>
      <c r="U61" s="158">
        <v>0</v>
      </c>
      <c r="V61" s="158">
        <v>0</v>
      </c>
      <c r="W61" s="158">
        <v>0</v>
      </c>
      <c r="X61" s="158">
        <v>0</v>
      </c>
      <c r="Y61" s="158">
        <v>0</v>
      </c>
      <c r="Z61" s="158">
        <v>0</v>
      </c>
      <c r="AA61" s="432">
        <v>0</v>
      </c>
      <c r="AB61" s="432">
        <v>0</v>
      </c>
      <c r="AC61" s="432">
        <v>0</v>
      </c>
      <c r="AD61" s="432">
        <v>0</v>
      </c>
      <c r="AE61" s="432">
        <v>0</v>
      </c>
      <c r="AF61" s="432">
        <v>0</v>
      </c>
      <c r="AG61" s="432">
        <v>0</v>
      </c>
      <c r="AH61" s="432">
        <v>0</v>
      </c>
      <c r="AI61" s="158">
        <v>43191</v>
      </c>
      <c r="AJ61" s="158">
        <v>0</v>
      </c>
      <c r="AK61" s="158">
        <v>43191</v>
      </c>
      <c r="AL61" s="158">
        <v>43191</v>
      </c>
      <c r="AM61" s="158">
        <v>6480000</v>
      </c>
      <c r="AN61" s="158">
        <v>43191</v>
      </c>
      <c r="AO61" s="158">
        <v>43191</v>
      </c>
      <c r="AP61" s="158">
        <v>43000</v>
      </c>
      <c r="AQ61" s="432">
        <v>99440</v>
      </c>
      <c r="AR61" s="432">
        <v>0</v>
      </c>
      <c r="AS61" s="432">
        <v>99440</v>
      </c>
      <c r="AT61" s="432">
        <v>99440</v>
      </c>
      <c r="AU61" s="432">
        <v>102800</v>
      </c>
      <c r="AV61" s="432">
        <v>99440</v>
      </c>
      <c r="AW61" s="432">
        <v>99440</v>
      </c>
      <c r="AX61" s="432">
        <v>99000</v>
      </c>
      <c r="AY61" s="158">
        <v>0</v>
      </c>
      <c r="AZ61" s="158">
        <v>0</v>
      </c>
      <c r="BA61" s="158">
        <v>0</v>
      </c>
      <c r="BB61" s="158">
        <v>0</v>
      </c>
      <c r="BC61" s="158">
        <v>0</v>
      </c>
      <c r="BD61" s="158">
        <v>0</v>
      </c>
      <c r="BE61" s="158">
        <v>0</v>
      </c>
      <c r="BF61" s="160">
        <v>0</v>
      </c>
      <c r="BG61" s="383">
        <v>2023</v>
      </c>
      <c r="BH61" s="383">
        <v>1</v>
      </c>
      <c r="BI61" s="383">
        <v>19</v>
      </c>
      <c r="BK61" s="147" t="str">
        <f>IF(R61=SUM(Z61,AH61,AP61,AX61,BF61),"○","×")</f>
        <v>○</v>
      </c>
    </row>
    <row r="62" spans="1:63" x14ac:dyDescent="0.2">
      <c r="A62" s="428">
        <v>1073</v>
      </c>
      <c r="B62" s="429"/>
      <c r="C62" s="430"/>
      <c r="D62" s="429"/>
      <c r="E62" s="430"/>
      <c r="F62" s="429"/>
      <c r="G62" s="429"/>
      <c r="H62" s="430"/>
      <c r="I62" s="429"/>
      <c r="J62" s="429"/>
      <c r="K62" s="429"/>
      <c r="L62" s="383"/>
      <c r="M62" s="383" t="s">
        <v>446</v>
      </c>
      <c r="N62" s="383" t="s">
        <v>447</v>
      </c>
      <c r="O62" s="383" t="s">
        <v>448</v>
      </c>
      <c r="P62" s="383" t="s">
        <v>970</v>
      </c>
      <c r="Q62" s="383"/>
      <c r="R62" s="431">
        <v>825000</v>
      </c>
      <c r="S62" s="158">
        <v>0</v>
      </c>
      <c r="T62" s="158">
        <v>0</v>
      </c>
      <c r="U62" s="158">
        <v>0</v>
      </c>
      <c r="V62" s="158">
        <v>0</v>
      </c>
      <c r="W62" s="158">
        <v>0</v>
      </c>
      <c r="X62" s="158">
        <v>0</v>
      </c>
      <c r="Y62" s="158">
        <v>0</v>
      </c>
      <c r="Z62" s="158">
        <v>0</v>
      </c>
      <c r="AA62" s="432">
        <v>431200</v>
      </c>
      <c r="AB62" s="432">
        <v>0</v>
      </c>
      <c r="AC62" s="432">
        <v>431200</v>
      </c>
      <c r="AD62" s="432">
        <v>431200</v>
      </c>
      <c r="AE62" s="432">
        <v>410000</v>
      </c>
      <c r="AF62" s="432">
        <v>410000</v>
      </c>
      <c r="AG62" s="432">
        <v>410000</v>
      </c>
      <c r="AH62" s="432">
        <v>410000</v>
      </c>
      <c r="AI62" s="158">
        <v>415580</v>
      </c>
      <c r="AJ62" s="158">
        <v>0</v>
      </c>
      <c r="AK62" s="158">
        <v>415580</v>
      </c>
      <c r="AL62" s="158">
        <v>415580</v>
      </c>
      <c r="AM62" s="158">
        <v>1029600</v>
      </c>
      <c r="AN62" s="158">
        <v>415580</v>
      </c>
      <c r="AO62" s="158">
        <v>415580</v>
      </c>
      <c r="AP62" s="158">
        <v>415000</v>
      </c>
      <c r="AQ62" s="432">
        <v>0</v>
      </c>
      <c r="AR62" s="432">
        <v>0</v>
      </c>
      <c r="AS62" s="432">
        <v>0</v>
      </c>
      <c r="AT62" s="432">
        <v>0</v>
      </c>
      <c r="AU62" s="432">
        <v>0</v>
      </c>
      <c r="AV62" s="432">
        <v>0</v>
      </c>
      <c r="AW62" s="432">
        <v>0</v>
      </c>
      <c r="AX62" s="432">
        <v>0</v>
      </c>
      <c r="AY62" s="158">
        <v>0</v>
      </c>
      <c r="AZ62" s="158">
        <v>0</v>
      </c>
      <c r="BA62" s="158">
        <v>0</v>
      </c>
      <c r="BB62" s="158">
        <v>0</v>
      </c>
      <c r="BC62" s="158">
        <v>0</v>
      </c>
      <c r="BD62" s="158">
        <v>0</v>
      </c>
      <c r="BE62" s="158">
        <v>0</v>
      </c>
      <c r="BF62" s="160">
        <v>0</v>
      </c>
      <c r="BG62" s="383">
        <v>2023</v>
      </c>
      <c r="BH62" s="383">
        <v>1</v>
      </c>
      <c r="BI62" s="383">
        <v>19</v>
      </c>
      <c r="BK62" s="147" t="str">
        <f>IF(R62=SUM(Z62,AH62,AP62,AX62,BF62),"○","×")</f>
        <v>○</v>
      </c>
    </row>
    <row r="63" spans="1:63" x14ac:dyDescent="0.2">
      <c r="A63" s="428">
        <v>1074</v>
      </c>
      <c r="B63" s="429"/>
      <c r="C63" s="430"/>
      <c r="D63" s="429"/>
      <c r="E63" s="430"/>
      <c r="F63" s="429"/>
      <c r="G63" s="429"/>
      <c r="H63" s="430"/>
      <c r="I63" s="429"/>
      <c r="J63" s="429"/>
      <c r="K63" s="429"/>
      <c r="L63" s="383"/>
      <c r="M63" s="383" t="s">
        <v>449</v>
      </c>
      <c r="N63" s="383" t="s">
        <v>340</v>
      </c>
      <c r="O63" s="383" t="s">
        <v>450</v>
      </c>
      <c r="P63" s="383" t="s">
        <v>970</v>
      </c>
      <c r="Q63" s="383"/>
      <c r="R63" s="431">
        <v>564000</v>
      </c>
      <c r="S63" s="158">
        <v>0</v>
      </c>
      <c r="T63" s="158">
        <v>0</v>
      </c>
      <c r="U63" s="158">
        <v>0</v>
      </c>
      <c r="V63" s="158">
        <v>0</v>
      </c>
      <c r="W63" s="158">
        <v>0</v>
      </c>
      <c r="X63" s="158">
        <v>0</v>
      </c>
      <c r="Y63" s="158">
        <v>0</v>
      </c>
      <c r="Z63" s="158">
        <v>0</v>
      </c>
      <c r="AA63" s="432">
        <v>0</v>
      </c>
      <c r="AB63" s="432">
        <v>0</v>
      </c>
      <c r="AC63" s="432">
        <v>0</v>
      </c>
      <c r="AD63" s="432">
        <v>0</v>
      </c>
      <c r="AE63" s="432">
        <v>0</v>
      </c>
      <c r="AF63" s="432">
        <v>0</v>
      </c>
      <c r="AG63" s="432">
        <v>0</v>
      </c>
      <c r="AH63" s="432">
        <v>0</v>
      </c>
      <c r="AI63" s="158">
        <v>388270</v>
      </c>
      <c r="AJ63" s="158">
        <v>0</v>
      </c>
      <c r="AK63" s="158">
        <v>388270</v>
      </c>
      <c r="AL63" s="158">
        <v>388270</v>
      </c>
      <c r="AM63" s="158">
        <v>2610000</v>
      </c>
      <c r="AN63" s="158">
        <v>388270</v>
      </c>
      <c r="AO63" s="158">
        <v>388270</v>
      </c>
      <c r="AP63" s="158">
        <v>388000</v>
      </c>
      <c r="AQ63" s="432">
        <v>0</v>
      </c>
      <c r="AR63" s="432">
        <v>0</v>
      </c>
      <c r="AS63" s="432">
        <v>0</v>
      </c>
      <c r="AT63" s="432">
        <v>0</v>
      </c>
      <c r="AU63" s="432">
        <v>0</v>
      </c>
      <c r="AV63" s="432">
        <v>0</v>
      </c>
      <c r="AW63" s="432">
        <v>0</v>
      </c>
      <c r="AX63" s="432">
        <v>0</v>
      </c>
      <c r="AY63" s="158">
        <v>176605</v>
      </c>
      <c r="AZ63" s="158">
        <v>0</v>
      </c>
      <c r="BA63" s="158">
        <v>176605</v>
      </c>
      <c r="BB63" s="158">
        <v>176605</v>
      </c>
      <c r="BC63" s="158">
        <v>176605</v>
      </c>
      <c r="BD63" s="158">
        <v>176605</v>
      </c>
      <c r="BE63" s="158">
        <v>176605</v>
      </c>
      <c r="BF63" s="160">
        <v>176000</v>
      </c>
      <c r="BG63" s="383">
        <v>2023</v>
      </c>
      <c r="BH63" s="383">
        <v>1</v>
      </c>
      <c r="BI63" s="383">
        <v>19</v>
      </c>
      <c r="BK63" s="147" t="str">
        <f>IF(R63=SUM(Z63,AH63,AP63,AX63,BF63),"○","×")</f>
        <v>○</v>
      </c>
    </row>
    <row r="64" spans="1:63" x14ac:dyDescent="0.2">
      <c r="A64" s="428">
        <v>1075</v>
      </c>
      <c r="B64" s="429"/>
      <c r="C64" s="430"/>
      <c r="D64" s="429"/>
      <c r="E64" s="430"/>
      <c r="F64" s="429"/>
      <c r="G64" s="429"/>
      <c r="H64" s="430"/>
      <c r="I64" s="429"/>
      <c r="J64" s="429"/>
      <c r="K64" s="429"/>
      <c r="L64" s="383"/>
      <c r="M64" s="383" t="s">
        <v>451</v>
      </c>
      <c r="N64" s="383" t="s">
        <v>367</v>
      </c>
      <c r="O64" s="383" t="s">
        <v>375</v>
      </c>
      <c r="P64" s="383" t="s">
        <v>970</v>
      </c>
      <c r="Q64" s="383"/>
      <c r="R64" s="431">
        <v>410000</v>
      </c>
      <c r="S64" s="158">
        <v>0</v>
      </c>
      <c r="T64" s="158">
        <v>0</v>
      </c>
      <c r="U64" s="158">
        <v>0</v>
      </c>
      <c r="V64" s="158">
        <v>0</v>
      </c>
      <c r="W64" s="158">
        <v>0</v>
      </c>
      <c r="X64" s="158">
        <v>0</v>
      </c>
      <c r="Y64" s="158">
        <v>0</v>
      </c>
      <c r="Z64" s="158">
        <v>0</v>
      </c>
      <c r="AA64" s="432">
        <v>463292</v>
      </c>
      <c r="AB64" s="432">
        <v>0</v>
      </c>
      <c r="AC64" s="432">
        <v>463292</v>
      </c>
      <c r="AD64" s="432">
        <v>463292</v>
      </c>
      <c r="AE64" s="432">
        <v>410000</v>
      </c>
      <c r="AF64" s="432">
        <v>410000</v>
      </c>
      <c r="AG64" s="432">
        <v>410000</v>
      </c>
      <c r="AH64" s="432">
        <v>410000</v>
      </c>
      <c r="AI64" s="158">
        <v>0</v>
      </c>
      <c r="AJ64" s="158">
        <v>0</v>
      </c>
      <c r="AK64" s="158">
        <v>0</v>
      </c>
      <c r="AL64" s="158">
        <v>0</v>
      </c>
      <c r="AM64" s="158">
        <v>0</v>
      </c>
      <c r="AN64" s="158">
        <v>0</v>
      </c>
      <c r="AO64" s="158">
        <v>0</v>
      </c>
      <c r="AP64" s="158">
        <v>0</v>
      </c>
      <c r="AQ64" s="432">
        <v>0</v>
      </c>
      <c r="AR64" s="432">
        <v>0</v>
      </c>
      <c r="AS64" s="432">
        <v>0</v>
      </c>
      <c r="AT64" s="432">
        <v>0</v>
      </c>
      <c r="AU64" s="432">
        <v>0</v>
      </c>
      <c r="AV64" s="432">
        <v>0</v>
      </c>
      <c r="AW64" s="432">
        <v>0</v>
      </c>
      <c r="AX64" s="432">
        <v>0</v>
      </c>
      <c r="AY64" s="158">
        <v>0</v>
      </c>
      <c r="AZ64" s="158">
        <v>0</v>
      </c>
      <c r="BA64" s="158">
        <v>0</v>
      </c>
      <c r="BB64" s="158">
        <v>0</v>
      </c>
      <c r="BC64" s="158">
        <v>0</v>
      </c>
      <c r="BD64" s="158">
        <v>0</v>
      </c>
      <c r="BE64" s="158">
        <v>0</v>
      </c>
      <c r="BF64" s="160">
        <v>0</v>
      </c>
      <c r="BG64" s="383">
        <v>2023</v>
      </c>
      <c r="BH64" s="383">
        <v>1</v>
      </c>
      <c r="BI64" s="383">
        <v>19</v>
      </c>
      <c r="BK64" s="147" t="str">
        <f>IF(R64=SUM(Z64,AH64,AP64,AX64,BF64),"○","×")</f>
        <v>○</v>
      </c>
    </row>
    <row r="65" spans="1:63" x14ac:dyDescent="0.2">
      <c r="A65" s="428">
        <v>1076</v>
      </c>
      <c r="B65" s="429"/>
      <c r="C65" s="430"/>
      <c r="D65" s="429"/>
      <c r="E65" s="430"/>
      <c r="F65" s="429"/>
      <c r="G65" s="429"/>
      <c r="H65" s="430"/>
      <c r="I65" s="429"/>
      <c r="J65" s="429"/>
      <c r="K65" s="429"/>
      <c r="L65" s="383"/>
      <c r="M65" s="383" t="s">
        <v>452</v>
      </c>
      <c r="N65" s="383" t="s">
        <v>329</v>
      </c>
      <c r="O65" s="383" t="s">
        <v>378</v>
      </c>
      <c r="P65" s="383" t="s">
        <v>970</v>
      </c>
      <c r="Q65" s="383"/>
      <c r="R65" s="431">
        <v>4185000</v>
      </c>
      <c r="S65" s="158">
        <v>0</v>
      </c>
      <c r="T65" s="158">
        <v>0</v>
      </c>
      <c r="U65" s="158">
        <v>0</v>
      </c>
      <c r="V65" s="158">
        <v>0</v>
      </c>
      <c r="W65" s="158">
        <v>0</v>
      </c>
      <c r="X65" s="158">
        <v>0</v>
      </c>
      <c r="Y65" s="158">
        <v>0</v>
      </c>
      <c r="Z65" s="158">
        <v>0</v>
      </c>
      <c r="AA65" s="432">
        <v>0</v>
      </c>
      <c r="AB65" s="432">
        <v>0</v>
      </c>
      <c r="AC65" s="432">
        <v>0</v>
      </c>
      <c r="AD65" s="432">
        <v>0</v>
      </c>
      <c r="AE65" s="432">
        <v>0</v>
      </c>
      <c r="AF65" s="432">
        <v>0</v>
      </c>
      <c r="AG65" s="432">
        <v>0</v>
      </c>
      <c r="AH65" s="432">
        <v>0</v>
      </c>
      <c r="AI65" s="158">
        <v>1041810</v>
      </c>
      <c r="AJ65" s="158">
        <v>0</v>
      </c>
      <c r="AK65" s="158">
        <v>1041810</v>
      </c>
      <c r="AL65" s="158">
        <v>1041810</v>
      </c>
      <c r="AM65" s="158">
        <v>1296000</v>
      </c>
      <c r="AN65" s="158">
        <v>1041810</v>
      </c>
      <c r="AO65" s="158">
        <v>1041810</v>
      </c>
      <c r="AP65" s="158">
        <v>1041000</v>
      </c>
      <c r="AQ65" s="432">
        <v>0</v>
      </c>
      <c r="AR65" s="432">
        <v>0</v>
      </c>
      <c r="AS65" s="432">
        <v>0</v>
      </c>
      <c r="AT65" s="432">
        <v>0</v>
      </c>
      <c r="AU65" s="432">
        <v>0</v>
      </c>
      <c r="AV65" s="432">
        <v>0</v>
      </c>
      <c r="AW65" s="432">
        <v>0</v>
      </c>
      <c r="AX65" s="432">
        <v>0</v>
      </c>
      <c r="AY65" s="158">
        <v>3144900</v>
      </c>
      <c r="AZ65" s="158">
        <v>0</v>
      </c>
      <c r="BA65" s="158">
        <v>3144900</v>
      </c>
      <c r="BB65" s="158">
        <v>3144900</v>
      </c>
      <c r="BC65" s="158">
        <v>3144900</v>
      </c>
      <c r="BD65" s="158">
        <v>3144900</v>
      </c>
      <c r="BE65" s="158">
        <v>3144900</v>
      </c>
      <c r="BF65" s="160">
        <v>3144000</v>
      </c>
      <c r="BG65" s="383">
        <v>2023</v>
      </c>
      <c r="BH65" s="383">
        <v>1</v>
      </c>
      <c r="BI65" s="383">
        <v>19</v>
      </c>
      <c r="BK65" s="147" t="str">
        <f>IF(R65=SUM(Z65,AH65,AP65,AX65,BF65),"○","×")</f>
        <v>○</v>
      </c>
    </row>
    <row r="66" spans="1:63" x14ac:dyDescent="0.2">
      <c r="A66" s="428">
        <v>1077</v>
      </c>
      <c r="B66" s="429"/>
      <c r="C66" s="430"/>
      <c r="D66" s="429"/>
      <c r="E66" s="430"/>
      <c r="F66" s="429"/>
      <c r="G66" s="429"/>
      <c r="H66" s="430"/>
      <c r="I66" s="429"/>
      <c r="J66" s="429"/>
      <c r="K66" s="429"/>
      <c r="L66" s="383"/>
      <c r="M66" s="383" t="s">
        <v>453</v>
      </c>
      <c r="N66" s="383" t="s">
        <v>447</v>
      </c>
      <c r="O66" s="383" t="s">
        <v>454</v>
      </c>
      <c r="P66" s="383" t="s">
        <v>970</v>
      </c>
      <c r="Q66" s="383"/>
      <c r="R66" s="431">
        <v>1012000</v>
      </c>
      <c r="S66" s="158">
        <v>0</v>
      </c>
      <c r="T66" s="158">
        <v>0</v>
      </c>
      <c r="U66" s="158">
        <v>0</v>
      </c>
      <c r="V66" s="158">
        <v>0</v>
      </c>
      <c r="W66" s="158">
        <v>0</v>
      </c>
      <c r="X66" s="158">
        <v>0</v>
      </c>
      <c r="Y66" s="158">
        <v>0</v>
      </c>
      <c r="Z66" s="158">
        <v>0</v>
      </c>
      <c r="AA66" s="432">
        <v>0</v>
      </c>
      <c r="AB66" s="432">
        <v>0</v>
      </c>
      <c r="AC66" s="432">
        <v>0</v>
      </c>
      <c r="AD66" s="432">
        <v>0</v>
      </c>
      <c r="AE66" s="432">
        <v>0</v>
      </c>
      <c r="AF66" s="432">
        <v>0</v>
      </c>
      <c r="AG66" s="432">
        <v>0</v>
      </c>
      <c r="AH66" s="432">
        <v>0</v>
      </c>
      <c r="AI66" s="158">
        <v>330890</v>
      </c>
      <c r="AJ66" s="158">
        <v>0</v>
      </c>
      <c r="AK66" s="158">
        <v>330890</v>
      </c>
      <c r="AL66" s="158">
        <v>330890</v>
      </c>
      <c r="AM66" s="158">
        <v>1209600</v>
      </c>
      <c r="AN66" s="158">
        <v>330890</v>
      </c>
      <c r="AO66" s="158">
        <v>330890</v>
      </c>
      <c r="AP66" s="158">
        <v>330000</v>
      </c>
      <c r="AQ66" s="432">
        <v>0</v>
      </c>
      <c r="AR66" s="432">
        <v>0</v>
      </c>
      <c r="AS66" s="432">
        <v>0</v>
      </c>
      <c r="AT66" s="432">
        <v>0</v>
      </c>
      <c r="AU66" s="432">
        <v>0</v>
      </c>
      <c r="AV66" s="432">
        <v>0</v>
      </c>
      <c r="AW66" s="432">
        <v>0</v>
      </c>
      <c r="AX66" s="432">
        <v>0</v>
      </c>
      <c r="AY66" s="158">
        <v>682000</v>
      </c>
      <c r="AZ66" s="158">
        <v>0</v>
      </c>
      <c r="BA66" s="158">
        <v>682000</v>
      </c>
      <c r="BB66" s="158">
        <v>682000</v>
      </c>
      <c r="BC66" s="158">
        <v>682000</v>
      </c>
      <c r="BD66" s="158">
        <v>682000</v>
      </c>
      <c r="BE66" s="158">
        <v>682000</v>
      </c>
      <c r="BF66" s="160">
        <v>682000</v>
      </c>
      <c r="BG66" s="383">
        <v>2023</v>
      </c>
      <c r="BH66" s="383">
        <v>1</v>
      </c>
      <c r="BI66" s="383">
        <v>19</v>
      </c>
      <c r="BK66" s="147" t="str">
        <f>IF(R66=SUM(Z66,AH66,AP66,AX66,BF66),"○","×")</f>
        <v>○</v>
      </c>
    </row>
    <row r="67" spans="1:63" x14ac:dyDescent="0.2">
      <c r="A67" s="428">
        <v>1078</v>
      </c>
      <c r="B67" s="429"/>
      <c r="C67" s="430"/>
      <c r="D67" s="429"/>
      <c r="E67" s="430"/>
      <c r="F67" s="429"/>
      <c r="G67" s="429"/>
      <c r="H67" s="430"/>
      <c r="I67" s="429"/>
      <c r="J67" s="429"/>
      <c r="K67" s="429"/>
      <c r="L67" s="383"/>
      <c r="M67" s="383" t="s">
        <v>455</v>
      </c>
      <c r="N67" s="383" t="s">
        <v>323</v>
      </c>
      <c r="O67" s="383" t="s">
        <v>439</v>
      </c>
      <c r="P67" s="383" t="s">
        <v>970</v>
      </c>
      <c r="Q67" s="383"/>
      <c r="R67" s="431">
        <v>777000</v>
      </c>
      <c r="S67" s="158">
        <v>0</v>
      </c>
      <c r="T67" s="158">
        <v>0</v>
      </c>
      <c r="U67" s="158">
        <v>0</v>
      </c>
      <c r="V67" s="158">
        <v>0</v>
      </c>
      <c r="W67" s="158">
        <v>0</v>
      </c>
      <c r="X67" s="158">
        <v>0</v>
      </c>
      <c r="Y67" s="158">
        <v>0</v>
      </c>
      <c r="Z67" s="158">
        <v>0</v>
      </c>
      <c r="AA67" s="432">
        <v>0</v>
      </c>
      <c r="AB67" s="432">
        <v>0</v>
      </c>
      <c r="AC67" s="432">
        <v>0</v>
      </c>
      <c r="AD67" s="432">
        <v>0</v>
      </c>
      <c r="AE67" s="432">
        <v>0</v>
      </c>
      <c r="AF67" s="432">
        <v>0</v>
      </c>
      <c r="AG67" s="432">
        <v>0</v>
      </c>
      <c r="AH67" s="432">
        <v>0</v>
      </c>
      <c r="AI67" s="158">
        <v>517176</v>
      </c>
      <c r="AJ67" s="158">
        <v>0</v>
      </c>
      <c r="AK67" s="158">
        <v>517176</v>
      </c>
      <c r="AL67" s="158">
        <v>517176</v>
      </c>
      <c r="AM67" s="158">
        <v>1296000</v>
      </c>
      <c r="AN67" s="158">
        <v>517176</v>
      </c>
      <c r="AO67" s="158">
        <v>517176</v>
      </c>
      <c r="AP67" s="158">
        <v>517000</v>
      </c>
      <c r="AQ67" s="432">
        <v>0</v>
      </c>
      <c r="AR67" s="432">
        <v>0</v>
      </c>
      <c r="AS67" s="432">
        <v>0</v>
      </c>
      <c r="AT67" s="432">
        <v>0</v>
      </c>
      <c r="AU67" s="432">
        <v>0</v>
      </c>
      <c r="AV67" s="432">
        <v>0</v>
      </c>
      <c r="AW67" s="432">
        <v>0</v>
      </c>
      <c r="AX67" s="432">
        <v>0</v>
      </c>
      <c r="AY67" s="158">
        <v>260260</v>
      </c>
      <c r="AZ67" s="158">
        <v>0</v>
      </c>
      <c r="BA67" s="158">
        <v>260260</v>
      </c>
      <c r="BB67" s="158">
        <v>260260</v>
      </c>
      <c r="BC67" s="158">
        <v>260260</v>
      </c>
      <c r="BD67" s="158">
        <v>260260</v>
      </c>
      <c r="BE67" s="158">
        <v>260260</v>
      </c>
      <c r="BF67" s="160">
        <v>260000</v>
      </c>
      <c r="BG67" s="383">
        <v>2023</v>
      </c>
      <c r="BH67" s="383">
        <v>1</v>
      </c>
      <c r="BI67" s="383">
        <v>19</v>
      </c>
      <c r="BK67" s="147" t="str">
        <f>IF(R67=SUM(Z67,AH67,AP67,AX67,BF67),"○","×")</f>
        <v>○</v>
      </c>
    </row>
    <row r="68" spans="1:63" x14ac:dyDescent="0.2">
      <c r="A68" s="428">
        <v>1079</v>
      </c>
      <c r="B68" s="429"/>
      <c r="C68" s="430"/>
      <c r="D68" s="429"/>
      <c r="E68" s="430"/>
      <c r="F68" s="429"/>
      <c r="G68" s="429"/>
      <c r="H68" s="430"/>
      <c r="I68" s="429"/>
      <c r="J68" s="429"/>
      <c r="K68" s="429"/>
      <c r="L68" s="383"/>
      <c r="M68" s="383" t="s">
        <v>456</v>
      </c>
      <c r="N68" s="383" t="s">
        <v>408</v>
      </c>
      <c r="O68" s="383" t="s">
        <v>324</v>
      </c>
      <c r="P68" s="383" t="s">
        <v>970</v>
      </c>
      <c r="Q68" s="383"/>
      <c r="R68" s="431">
        <v>485000</v>
      </c>
      <c r="S68" s="158">
        <v>0</v>
      </c>
      <c r="T68" s="158">
        <v>0</v>
      </c>
      <c r="U68" s="158">
        <v>0</v>
      </c>
      <c r="V68" s="158">
        <v>0</v>
      </c>
      <c r="W68" s="158">
        <v>0</v>
      </c>
      <c r="X68" s="158">
        <v>0</v>
      </c>
      <c r="Y68" s="158">
        <v>0</v>
      </c>
      <c r="Z68" s="158">
        <v>0</v>
      </c>
      <c r="AA68" s="432">
        <v>407000</v>
      </c>
      <c r="AB68" s="432">
        <v>0</v>
      </c>
      <c r="AC68" s="432">
        <v>407000</v>
      </c>
      <c r="AD68" s="432">
        <v>407000</v>
      </c>
      <c r="AE68" s="432">
        <v>410000</v>
      </c>
      <c r="AF68" s="432">
        <v>407000</v>
      </c>
      <c r="AG68" s="432">
        <v>407000</v>
      </c>
      <c r="AH68" s="432">
        <v>407000</v>
      </c>
      <c r="AI68" s="158">
        <v>78560</v>
      </c>
      <c r="AJ68" s="158">
        <v>0</v>
      </c>
      <c r="AK68" s="158">
        <v>78560</v>
      </c>
      <c r="AL68" s="158">
        <v>78560</v>
      </c>
      <c r="AM68" s="158">
        <v>1029600</v>
      </c>
      <c r="AN68" s="158">
        <v>78560</v>
      </c>
      <c r="AO68" s="158">
        <v>78560</v>
      </c>
      <c r="AP68" s="158">
        <v>78000</v>
      </c>
      <c r="AQ68" s="432">
        <v>0</v>
      </c>
      <c r="AR68" s="432">
        <v>0</v>
      </c>
      <c r="AS68" s="432">
        <v>0</v>
      </c>
      <c r="AT68" s="432">
        <v>0</v>
      </c>
      <c r="AU68" s="432">
        <v>0</v>
      </c>
      <c r="AV68" s="432">
        <v>0</v>
      </c>
      <c r="AW68" s="432">
        <v>0</v>
      </c>
      <c r="AX68" s="432">
        <v>0</v>
      </c>
      <c r="AY68" s="158">
        <v>0</v>
      </c>
      <c r="AZ68" s="158">
        <v>0</v>
      </c>
      <c r="BA68" s="158">
        <v>0</v>
      </c>
      <c r="BB68" s="158">
        <v>0</v>
      </c>
      <c r="BC68" s="158">
        <v>0</v>
      </c>
      <c r="BD68" s="158">
        <v>0</v>
      </c>
      <c r="BE68" s="158">
        <v>0</v>
      </c>
      <c r="BF68" s="160">
        <v>0</v>
      </c>
      <c r="BG68" s="383">
        <v>2023</v>
      </c>
      <c r="BH68" s="383">
        <v>1</v>
      </c>
      <c r="BI68" s="383">
        <v>19</v>
      </c>
      <c r="BK68" s="147" t="str">
        <f>IF(R68=SUM(Z68,AH68,AP68,AX68,BF68),"○","×")</f>
        <v>○</v>
      </c>
    </row>
    <row r="69" spans="1:63" x14ac:dyDescent="0.2">
      <c r="A69" s="428">
        <v>1080</v>
      </c>
      <c r="B69" s="429"/>
      <c r="C69" s="430"/>
      <c r="D69" s="429"/>
      <c r="E69" s="430"/>
      <c r="F69" s="429"/>
      <c r="G69" s="429"/>
      <c r="H69" s="430"/>
      <c r="I69" s="429"/>
      <c r="J69" s="429"/>
      <c r="K69" s="429"/>
      <c r="L69" s="383"/>
      <c r="M69" s="383" t="s">
        <v>457</v>
      </c>
      <c r="N69" s="383" t="s">
        <v>356</v>
      </c>
      <c r="O69" s="383" t="s">
        <v>458</v>
      </c>
      <c r="P69" s="383" t="s">
        <v>970</v>
      </c>
      <c r="Q69" s="383"/>
      <c r="R69" s="431">
        <v>487000</v>
      </c>
      <c r="S69" s="158">
        <v>0</v>
      </c>
      <c r="T69" s="158">
        <v>0</v>
      </c>
      <c r="U69" s="158">
        <v>0</v>
      </c>
      <c r="V69" s="158">
        <v>0</v>
      </c>
      <c r="W69" s="158">
        <v>0</v>
      </c>
      <c r="X69" s="158">
        <v>0</v>
      </c>
      <c r="Y69" s="158">
        <v>0</v>
      </c>
      <c r="Z69" s="158">
        <v>0</v>
      </c>
      <c r="AA69" s="432">
        <v>410080</v>
      </c>
      <c r="AB69" s="432">
        <v>0</v>
      </c>
      <c r="AC69" s="432">
        <v>410080</v>
      </c>
      <c r="AD69" s="432">
        <v>410080</v>
      </c>
      <c r="AE69" s="432">
        <v>410000</v>
      </c>
      <c r="AF69" s="432">
        <v>410000</v>
      </c>
      <c r="AG69" s="432">
        <v>410000</v>
      </c>
      <c r="AH69" s="432">
        <v>410000</v>
      </c>
      <c r="AI69" s="158">
        <v>77440</v>
      </c>
      <c r="AJ69" s="158">
        <v>0</v>
      </c>
      <c r="AK69" s="158">
        <v>77440</v>
      </c>
      <c r="AL69" s="158">
        <v>77440</v>
      </c>
      <c r="AM69" s="158">
        <v>1728000</v>
      </c>
      <c r="AN69" s="158">
        <v>77440</v>
      </c>
      <c r="AO69" s="158">
        <v>77440</v>
      </c>
      <c r="AP69" s="158">
        <v>77000</v>
      </c>
      <c r="AQ69" s="432">
        <v>0</v>
      </c>
      <c r="AR69" s="432">
        <v>0</v>
      </c>
      <c r="AS69" s="432">
        <v>0</v>
      </c>
      <c r="AT69" s="432">
        <v>0</v>
      </c>
      <c r="AU69" s="432">
        <v>0</v>
      </c>
      <c r="AV69" s="432">
        <v>0</v>
      </c>
      <c r="AW69" s="432">
        <v>0</v>
      </c>
      <c r="AX69" s="432">
        <v>0</v>
      </c>
      <c r="AY69" s="158">
        <v>0</v>
      </c>
      <c r="AZ69" s="158">
        <v>0</v>
      </c>
      <c r="BA69" s="158">
        <v>0</v>
      </c>
      <c r="BB69" s="158">
        <v>0</v>
      </c>
      <c r="BC69" s="158">
        <v>0</v>
      </c>
      <c r="BD69" s="158">
        <v>0</v>
      </c>
      <c r="BE69" s="158">
        <v>0</v>
      </c>
      <c r="BF69" s="160">
        <v>0</v>
      </c>
      <c r="BG69" s="383">
        <v>2023</v>
      </c>
      <c r="BH69" s="383">
        <v>1</v>
      </c>
      <c r="BI69" s="383">
        <v>19</v>
      </c>
      <c r="BK69" s="147" t="str">
        <f>IF(R69=SUM(Z69,AH69,AP69,AX69,BF69),"○","×")</f>
        <v>○</v>
      </c>
    </row>
    <row r="70" spans="1:63" x14ac:dyDescent="0.2">
      <c r="A70" s="428">
        <v>1082</v>
      </c>
      <c r="B70" s="429"/>
      <c r="C70" s="430"/>
      <c r="D70" s="429"/>
      <c r="E70" s="430"/>
      <c r="F70" s="429"/>
      <c r="G70" s="429"/>
      <c r="H70" s="430"/>
      <c r="I70" s="429"/>
      <c r="J70" s="429"/>
      <c r="K70" s="429"/>
      <c r="L70" s="383"/>
      <c r="M70" s="383" t="s">
        <v>459</v>
      </c>
      <c r="N70" s="383" t="s">
        <v>367</v>
      </c>
      <c r="O70" s="383" t="s">
        <v>460</v>
      </c>
      <c r="P70" s="383" t="s">
        <v>970</v>
      </c>
      <c r="Q70" s="383"/>
      <c r="R70" s="431">
        <v>2203000</v>
      </c>
      <c r="S70" s="158">
        <v>0</v>
      </c>
      <c r="T70" s="158">
        <v>0</v>
      </c>
      <c r="U70" s="158">
        <v>0</v>
      </c>
      <c r="V70" s="158">
        <v>0</v>
      </c>
      <c r="W70" s="158">
        <v>0</v>
      </c>
      <c r="X70" s="158">
        <v>0</v>
      </c>
      <c r="Y70" s="158">
        <v>0</v>
      </c>
      <c r="Z70" s="158">
        <v>0</v>
      </c>
      <c r="AA70" s="432">
        <v>0</v>
      </c>
      <c r="AB70" s="432">
        <v>0</v>
      </c>
      <c r="AC70" s="432">
        <v>0</v>
      </c>
      <c r="AD70" s="432">
        <v>0</v>
      </c>
      <c r="AE70" s="432">
        <v>0</v>
      </c>
      <c r="AF70" s="432">
        <v>0</v>
      </c>
      <c r="AG70" s="432">
        <v>0</v>
      </c>
      <c r="AH70" s="432">
        <v>0</v>
      </c>
      <c r="AI70" s="158">
        <v>2078904</v>
      </c>
      <c r="AJ70" s="158">
        <v>0</v>
      </c>
      <c r="AK70" s="158">
        <v>2078904</v>
      </c>
      <c r="AL70" s="158">
        <v>2078904</v>
      </c>
      <c r="AM70" s="158">
        <v>2073600</v>
      </c>
      <c r="AN70" s="158">
        <v>2073600</v>
      </c>
      <c r="AO70" s="158">
        <v>2073600</v>
      </c>
      <c r="AP70" s="158">
        <v>2073000</v>
      </c>
      <c r="AQ70" s="432">
        <v>0</v>
      </c>
      <c r="AR70" s="432">
        <v>0</v>
      </c>
      <c r="AS70" s="432">
        <v>0</v>
      </c>
      <c r="AT70" s="432">
        <v>0</v>
      </c>
      <c r="AU70" s="432">
        <v>0</v>
      </c>
      <c r="AV70" s="432">
        <v>0</v>
      </c>
      <c r="AW70" s="432">
        <v>0</v>
      </c>
      <c r="AX70" s="432">
        <v>0</v>
      </c>
      <c r="AY70" s="158">
        <v>130790</v>
      </c>
      <c r="AZ70" s="158">
        <v>0</v>
      </c>
      <c r="BA70" s="158">
        <v>130790</v>
      </c>
      <c r="BB70" s="158">
        <v>130790</v>
      </c>
      <c r="BC70" s="158">
        <v>130790</v>
      </c>
      <c r="BD70" s="158">
        <v>130790</v>
      </c>
      <c r="BE70" s="158">
        <v>130790</v>
      </c>
      <c r="BF70" s="160">
        <v>130000</v>
      </c>
      <c r="BG70" s="383">
        <v>2023</v>
      </c>
      <c r="BH70" s="383">
        <v>1</v>
      </c>
      <c r="BI70" s="383">
        <v>19</v>
      </c>
      <c r="BK70" s="147" t="str">
        <f>IF(R70=SUM(Z70,AH70,AP70,AX70,BF70),"○","×")</f>
        <v>○</v>
      </c>
    </row>
    <row r="71" spans="1:63" x14ac:dyDescent="0.2">
      <c r="A71" s="428">
        <v>1084</v>
      </c>
      <c r="B71" s="429"/>
      <c r="C71" s="430"/>
      <c r="D71" s="429"/>
      <c r="E71" s="430"/>
      <c r="F71" s="429"/>
      <c r="G71" s="429"/>
      <c r="H71" s="430"/>
      <c r="I71" s="429"/>
      <c r="J71" s="429"/>
      <c r="K71" s="429"/>
      <c r="L71" s="383"/>
      <c r="M71" s="383" t="s">
        <v>461</v>
      </c>
      <c r="N71" s="383" t="s">
        <v>323</v>
      </c>
      <c r="O71" s="383" t="s">
        <v>462</v>
      </c>
      <c r="P71" s="383" t="s">
        <v>970</v>
      </c>
      <c r="Q71" s="383"/>
      <c r="R71" s="431">
        <v>1608000</v>
      </c>
      <c r="S71" s="158">
        <v>806850</v>
      </c>
      <c r="T71" s="158">
        <v>0</v>
      </c>
      <c r="U71" s="158">
        <v>806850</v>
      </c>
      <c r="V71" s="158">
        <v>806850</v>
      </c>
      <c r="W71" s="158">
        <v>905000</v>
      </c>
      <c r="X71" s="158">
        <v>806850</v>
      </c>
      <c r="Y71" s="158">
        <v>806850</v>
      </c>
      <c r="Z71" s="158">
        <v>806000</v>
      </c>
      <c r="AA71" s="432">
        <v>0</v>
      </c>
      <c r="AB71" s="432">
        <v>0</v>
      </c>
      <c r="AC71" s="432">
        <v>0</v>
      </c>
      <c r="AD71" s="432">
        <v>0</v>
      </c>
      <c r="AE71" s="432">
        <v>0</v>
      </c>
      <c r="AF71" s="432">
        <v>0</v>
      </c>
      <c r="AG71" s="432">
        <v>0</v>
      </c>
      <c r="AH71" s="432">
        <v>0</v>
      </c>
      <c r="AI71" s="158">
        <v>802400</v>
      </c>
      <c r="AJ71" s="158">
        <v>0</v>
      </c>
      <c r="AK71" s="158">
        <v>802400</v>
      </c>
      <c r="AL71" s="158">
        <v>802400</v>
      </c>
      <c r="AM71" s="158">
        <v>3175200</v>
      </c>
      <c r="AN71" s="158">
        <v>802400</v>
      </c>
      <c r="AO71" s="158">
        <v>802400</v>
      </c>
      <c r="AP71" s="158">
        <v>802000</v>
      </c>
      <c r="AQ71" s="432">
        <v>0</v>
      </c>
      <c r="AR71" s="432">
        <v>0</v>
      </c>
      <c r="AS71" s="432">
        <v>0</v>
      </c>
      <c r="AT71" s="432">
        <v>0</v>
      </c>
      <c r="AU71" s="432">
        <v>0</v>
      </c>
      <c r="AV71" s="432">
        <v>0</v>
      </c>
      <c r="AW71" s="432">
        <v>0</v>
      </c>
      <c r="AX71" s="432">
        <v>0</v>
      </c>
      <c r="AY71" s="158">
        <v>0</v>
      </c>
      <c r="AZ71" s="158">
        <v>0</v>
      </c>
      <c r="BA71" s="158">
        <v>0</v>
      </c>
      <c r="BB71" s="158">
        <v>0</v>
      </c>
      <c r="BC71" s="158">
        <v>0</v>
      </c>
      <c r="BD71" s="158">
        <v>0</v>
      </c>
      <c r="BE71" s="158">
        <v>0</v>
      </c>
      <c r="BF71" s="160">
        <v>0</v>
      </c>
      <c r="BG71" s="383">
        <v>2023</v>
      </c>
      <c r="BH71" s="383">
        <v>1</v>
      </c>
      <c r="BI71" s="383">
        <v>19</v>
      </c>
      <c r="BK71" s="147" t="str">
        <f>IF(R71=SUM(Z71,AH71,AP71,AX71,BF71),"○","×")</f>
        <v>○</v>
      </c>
    </row>
    <row r="72" spans="1:63" x14ac:dyDescent="0.2">
      <c r="A72" s="428">
        <v>1085</v>
      </c>
      <c r="B72" s="429"/>
      <c r="C72" s="430"/>
      <c r="D72" s="429"/>
      <c r="E72" s="430"/>
      <c r="F72" s="429"/>
      <c r="G72" s="429"/>
      <c r="H72" s="430"/>
      <c r="I72" s="429"/>
      <c r="J72" s="429"/>
      <c r="K72" s="429"/>
      <c r="L72" s="383"/>
      <c r="M72" s="383" t="s">
        <v>463</v>
      </c>
      <c r="N72" s="383" t="s">
        <v>447</v>
      </c>
      <c r="O72" s="383" t="s">
        <v>464</v>
      </c>
      <c r="P72" s="383" t="s">
        <v>970</v>
      </c>
      <c r="Q72" s="383"/>
      <c r="R72" s="431">
        <v>4033000</v>
      </c>
      <c r="S72" s="158">
        <v>0</v>
      </c>
      <c r="T72" s="158">
        <v>0</v>
      </c>
      <c r="U72" s="158">
        <v>0</v>
      </c>
      <c r="V72" s="158">
        <v>0</v>
      </c>
      <c r="W72" s="158">
        <v>0</v>
      </c>
      <c r="X72" s="158">
        <v>0</v>
      </c>
      <c r="Y72" s="158">
        <v>0</v>
      </c>
      <c r="Z72" s="158">
        <v>0</v>
      </c>
      <c r="AA72" s="432">
        <v>995940</v>
      </c>
      <c r="AB72" s="432">
        <v>0</v>
      </c>
      <c r="AC72" s="432">
        <v>995940</v>
      </c>
      <c r="AD72" s="432">
        <v>995940</v>
      </c>
      <c r="AE72" s="432">
        <v>1845000</v>
      </c>
      <c r="AF72" s="432">
        <v>995940</v>
      </c>
      <c r="AG72" s="432">
        <v>995940</v>
      </c>
      <c r="AH72" s="432">
        <v>995000</v>
      </c>
      <c r="AI72" s="158">
        <v>3038780</v>
      </c>
      <c r="AJ72" s="158">
        <v>0</v>
      </c>
      <c r="AK72" s="158">
        <v>3038780</v>
      </c>
      <c r="AL72" s="158">
        <v>3038780</v>
      </c>
      <c r="AM72" s="158">
        <v>7862400</v>
      </c>
      <c r="AN72" s="158">
        <v>3038780</v>
      </c>
      <c r="AO72" s="158">
        <v>3038780</v>
      </c>
      <c r="AP72" s="158">
        <v>3038000</v>
      </c>
      <c r="AQ72" s="432">
        <v>0</v>
      </c>
      <c r="AR72" s="432">
        <v>0</v>
      </c>
      <c r="AS72" s="432">
        <v>0</v>
      </c>
      <c r="AT72" s="432">
        <v>0</v>
      </c>
      <c r="AU72" s="432">
        <v>0</v>
      </c>
      <c r="AV72" s="432">
        <v>0</v>
      </c>
      <c r="AW72" s="432">
        <v>0</v>
      </c>
      <c r="AX72" s="432">
        <v>0</v>
      </c>
      <c r="AY72" s="158">
        <v>0</v>
      </c>
      <c r="AZ72" s="158">
        <v>0</v>
      </c>
      <c r="BA72" s="158">
        <v>0</v>
      </c>
      <c r="BB72" s="158">
        <v>0</v>
      </c>
      <c r="BC72" s="158">
        <v>0</v>
      </c>
      <c r="BD72" s="158">
        <v>0</v>
      </c>
      <c r="BE72" s="158">
        <v>0</v>
      </c>
      <c r="BF72" s="160">
        <v>0</v>
      </c>
      <c r="BG72" s="383">
        <v>2023</v>
      </c>
      <c r="BH72" s="383">
        <v>1</v>
      </c>
      <c r="BI72" s="383">
        <v>19</v>
      </c>
      <c r="BK72" s="147" t="str">
        <f>IF(R72=SUM(Z72,AH72,AP72,AX72,BF72),"○","×")</f>
        <v>○</v>
      </c>
    </row>
    <row r="73" spans="1:63" x14ac:dyDescent="0.2">
      <c r="A73" s="428">
        <v>1086</v>
      </c>
      <c r="B73" s="429"/>
      <c r="C73" s="430"/>
      <c r="D73" s="429"/>
      <c r="E73" s="430"/>
      <c r="F73" s="429"/>
      <c r="G73" s="429"/>
      <c r="H73" s="430"/>
      <c r="I73" s="429"/>
      <c r="J73" s="429"/>
      <c r="K73" s="429"/>
      <c r="L73" s="383"/>
      <c r="M73" s="383" t="s">
        <v>465</v>
      </c>
      <c r="N73" s="383" t="s">
        <v>343</v>
      </c>
      <c r="O73" s="383" t="s">
        <v>466</v>
      </c>
      <c r="P73" s="383" t="s">
        <v>970</v>
      </c>
      <c r="Q73" s="383"/>
      <c r="R73" s="431">
        <v>1132000</v>
      </c>
      <c r="S73" s="158">
        <v>905000</v>
      </c>
      <c r="T73" s="158">
        <v>0</v>
      </c>
      <c r="U73" s="158">
        <v>905000</v>
      </c>
      <c r="V73" s="158">
        <v>905000</v>
      </c>
      <c r="W73" s="158">
        <v>905000</v>
      </c>
      <c r="X73" s="158">
        <v>905000</v>
      </c>
      <c r="Y73" s="158">
        <v>905000</v>
      </c>
      <c r="Z73" s="158">
        <v>905000</v>
      </c>
      <c r="AA73" s="432">
        <v>0</v>
      </c>
      <c r="AB73" s="432">
        <v>0</v>
      </c>
      <c r="AC73" s="432">
        <v>0</v>
      </c>
      <c r="AD73" s="432">
        <v>0</v>
      </c>
      <c r="AE73" s="432">
        <v>0</v>
      </c>
      <c r="AF73" s="432">
        <v>0</v>
      </c>
      <c r="AG73" s="432">
        <v>0</v>
      </c>
      <c r="AH73" s="432">
        <v>0</v>
      </c>
      <c r="AI73" s="158">
        <v>227700</v>
      </c>
      <c r="AJ73" s="158">
        <v>0</v>
      </c>
      <c r="AK73" s="158">
        <v>227700</v>
      </c>
      <c r="AL73" s="158">
        <v>227700</v>
      </c>
      <c r="AM73" s="158">
        <v>2160000</v>
      </c>
      <c r="AN73" s="158">
        <v>227700</v>
      </c>
      <c r="AO73" s="158">
        <v>227700</v>
      </c>
      <c r="AP73" s="158">
        <v>227000</v>
      </c>
      <c r="AQ73" s="432">
        <v>0</v>
      </c>
      <c r="AR73" s="432">
        <v>0</v>
      </c>
      <c r="AS73" s="432">
        <v>0</v>
      </c>
      <c r="AT73" s="432">
        <v>0</v>
      </c>
      <c r="AU73" s="432">
        <v>0</v>
      </c>
      <c r="AV73" s="432">
        <v>0</v>
      </c>
      <c r="AW73" s="432">
        <v>0</v>
      </c>
      <c r="AX73" s="432">
        <v>0</v>
      </c>
      <c r="AY73" s="158">
        <v>0</v>
      </c>
      <c r="AZ73" s="158">
        <v>0</v>
      </c>
      <c r="BA73" s="158">
        <v>0</v>
      </c>
      <c r="BB73" s="158">
        <v>0</v>
      </c>
      <c r="BC73" s="158">
        <v>0</v>
      </c>
      <c r="BD73" s="158">
        <v>0</v>
      </c>
      <c r="BE73" s="158">
        <v>0</v>
      </c>
      <c r="BF73" s="160">
        <v>0</v>
      </c>
      <c r="BG73" s="383">
        <v>2023</v>
      </c>
      <c r="BH73" s="383">
        <v>1</v>
      </c>
      <c r="BI73" s="383">
        <v>19</v>
      </c>
      <c r="BK73" s="147" t="str">
        <f>IF(R73=SUM(Z73,AH73,AP73,AX73,BF73),"○","×")</f>
        <v>○</v>
      </c>
    </row>
    <row r="74" spans="1:63" x14ac:dyDescent="0.2">
      <c r="A74" s="428">
        <v>1087</v>
      </c>
      <c r="B74" s="429"/>
      <c r="C74" s="430"/>
      <c r="D74" s="429"/>
      <c r="E74" s="430"/>
      <c r="F74" s="429"/>
      <c r="G74" s="429"/>
      <c r="H74" s="430"/>
      <c r="I74" s="429"/>
      <c r="J74" s="429"/>
      <c r="K74" s="429"/>
      <c r="L74" s="383"/>
      <c r="M74" s="383" t="s">
        <v>467</v>
      </c>
      <c r="N74" s="383" t="s">
        <v>427</v>
      </c>
      <c r="O74" s="383" t="s">
        <v>468</v>
      </c>
      <c r="P74" s="383" t="s">
        <v>970</v>
      </c>
      <c r="Q74" s="383"/>
      <c r="R74" s="431">
        <v>77000</v>
      </c>
      <c r="S74" s="158">
        <v>0</v>
      </c>
      <c r="T74" s="158">
        <v>0</v>
      </c>
      <c r="U74" s="158">
        <v>0</v>
      </c>
      <c r="V74" s="158">
        <v>0</v>
      </c>
      <c r="W74" s="158">
        <v>0</v>
      </c>
      <c r="X74" s="158">
        <v>0</v>
      </c>
      <c r="Y74" s="158">
        <v>0</v>
      </c>
      <c r="Z74" s="158">
        <v>0</v>
      </c>
      <c r="AA74" s="432">
        <v>0</v>
      </c>
      <c r="AB74" s="432">
        <v>0</v>
      </c>
      <c r="AC74" s="432">
        <v>0</v>
      </c>
      <c r="AD74" s="432">
        <v>0</v>
      </c>
      <c r="AE74" s="432">
        <v>0</v>
      </c>
      <c r="AF74" s="432">
        <v>0</v>
      </c>
      <c r="AG74" s="432">
        <v>0</v>
      </c>
      <c r="AH74" s="432">
        <v>0</v>
      </c>
      <c r="AI74" s="158">
        <v>0</v>
      </c>
      <c r="AJ74" s="158">
        <v>0</v>
      </c>
      <c r="AK74" s="158">
        <v>0</v>
      </c>
      <c r="AL74" s="158">
        <v>0</v>
      </c>
      <c r="AM74" s="158">
        <v>0</v>
      </c>
      <c r="AN74" s="158">
        <v>0</v>
      </c>
      <c r="AO74" s="158">
        <v>0</v>
      </c>
      <c r="AP74" s="158">
        <v>0</v>
      </c>
      <c r="AQ74" s="432">
        <v>0</v>
      </c>
      <c r="AR74" s="432">
        <v>0</v>
      </c>
      <c r="AS74" s="432">
        <v>0</v>
      </c>
      <c r="AT74" s="432">
        <v>0</v>
      </c>
      <c r="AU74" s="432">
        <v>0</v>
      </c>
      <c r="AV74" s="432">
        <v>0</v>
      </c>
      <c r="AW74" s="432">
        <v>0</v>
      </c>
      <c r="AX74" s="432">
        <v>0</v>
      </c>
      <c r="AY74" s="158">
        <v>77999</v>
      </c>
      <c r="AZ74" s="158">
        <v>0</v>
      </c>
      <c r="BA74" s="158">
        <v>77999</v>
      </c>
      <c r="BB74" s="158">
        <v>77999</v>
      </c>
      <c r="BC74" s="158">
        <v>77999</v>
      </c>
      <c r="BD74" s="158">
        <v>77999</v>
      </c>
      <c r="BE74" s="158">
        <v>77999</v>
      </c>
      <c r="BF74" s="160">
        <v>77000</v>
      </c>
      <c r="BG74" s="383">
        <v>2023</v>
      </c>
      <c r="BH74" s="383">
        <v>1</v>
      </c>
      <c r="BI74" s="383">
        <v>19</v>
      </c>
      <c r="BK74" s="147" t="str">
        <f>IF(R74=SUM(Z74,AH74,AP74,AX74,BF74),"○","×")</f>
        <v>○</v>
      </c>
    </row>
    <row r="75" spans="1:63" x14ac:dyDescent="0.2">
      <c r="A75" s="428">
        <v>1089</v>
      </c>
      <c r="B75" s="429"/>
      <c r="C75" s="430"/>
      <c r="D75" s="429"/>
      <c r="E75" s="430"/>
      <c r="F75" s="429"/>
      <c r="G75" s="429"/>
      <c r="H75" s="430"/>
      <c r="I75" s="429"/>
      <c r="J75" s="429"/>
      <c r="K75" s="429"/>
      <c r="L75" s="383"/>
      <c r="M75" s="383" t="s">
        <v>469</v>
      </c>
      <c r="N75" s="383" t="s">
        <v>470</v>
      </c>
      <c r="O75" s="383" t="s">
        <v>333</v>
      </c>
      <c r="P75" s="383" t="s">
        <v>970</v>
      </c>
      <c r="Q75" s="383"/>
      <c r="R75" s="431">
        <v>223000</v>
      </c>
      <c r="S75" s="158">
        <v>0</v>
      </c>
      <c r="T75" s="158">
        <v>0</v>
      </c>
      <c r="U75" s="158">
        <v>0</v>
      </c>
      <c r="V75" s="158">
        <v>0</v>
      </c>
      <c r="W75" s="158">
        <v>0</v>
      </c>
      <c r="X75" s="158">
        <v>0</v>
      </c>
      <c r="Y75" s="158">
        <v>0</v>
      </c>
      <c r="Z75" s="158">
        <v>0</v>
      </c>
      <c r="AA75" s="432">
        <v>0</v>
      </c>
      <c r="AB75" s="432">
        <v>0</v>
      </c>
      <c r="AC75" s="432">
        <v>0</v>
      </c>
      <c r="AD75" s="432">
        <v>0</v>
      </c>
      <c r="AE75" s="432">
        <v>0</v>
      </c>
      <c r="AF75" s="432">
        <v>0</v>
      </c>
      <c r="AG75" s="432">
        <v>0</v>
      </c>
      <c r="AH75" s="432">
        <v>0</v>
      </c>
      <c r="AI75" s="158">
        <v>145204</v>
      </c>
      <c r="AJ75" s="158">
        <v>0</v>
      </c>
      <c r="AK75" s="158">
        <v>145204</v>
      </c>
      <c r="AL75" s="158">
        <v>145204</v>
      </c>
      <c r="AM75" s="158">
        <v>5148000</v>
      </c>
      <c r="AN75" s="158">
        <v>145204</v>
      </c>
      <c r="AO75" s="158">
        <v>145204</v>
      </c>
      <c r="AP75" s="158">
        <v>145000</v>
      </c>
      <c r="AQ75" s="432">
        <v>0</v>
      </c>
      <c r="AR75" s="432">
        <v>0</v>
      </c>
      <c r="AS75" s="432">
        <v>0</v>
      </c>
      <c r="AT75" s="432">
        <v>0</v>
      </c>
      <c r="AU75" s="432">
        <v>0</v>
      </c>
      <c r="AV75" s="432">
        <v>0</v>
      </c>
      <c r="AW75" s="432">
        <v>0</v>
      </c>
      <c r="AX75" s="432">
        <v>0</v>
      </c>
      <c r="AY75" s="158">
        <v>78016</v>
      </c>
      <c r="AZ75" s="158">
        <v>0</v>
      </c>
      <c r="BA75" s="158">
        <v>78016</v>
      </c>
      <c r="BB75" s="158">
        <v>78016</v>
      </c>
      <c r="BC75" s="158">
        <v>78016</v>
      </c>
      <c r="BD75" s="158">
        <v>78016</v>
      </c>
      <c r="BE75" s="158">
        <v>78016</v>
      </c>
      <c r="BF75" s="160">
        <v>78000</v>
      </c>
      <c r="BG75" s="383">
        <v>2023</v>
      </c>
      <c r="BH75" s="383">
        <v>1</v>
      </c>
      <c r="BI75" s="383">
        <v>19</v>
      </c>
      <c r="BK75" s="147" t="str">
        <f>IF(R75=SUM(Z75,AH75,AP75,AX75,BF75),"○","×")</f>
        <v>○</v>
      </c>
    </row>
    <row r="76" spans="1:63" x14ac:dyDescent="0.2">
      <c r="A76" s="428">
        <v>1090</v>
      </c>
      <c r="B76" s="429"/>
      <c r="C76" s="430"/>
      <c r="D76" s="429"/>
      <c r="E76" s="430"/>
      <c r="F76" s="429"/>
      <c r="G76" s="429"/>
      <c r="H76" s="430"/>
      <c r="I76" s="429"/>
      <c r="J76" s="429"/>
      <c r="K76" s="429"/>
      <c r="L76" s="383"/>
      <c r="M76" s="383" t="s">
        <v>471</v>
      </c>
      <c r="N76" s="383" t="s">
        <v>447</v>
      </c>
      <c r="O76" s="383" t="s">
        <v>472</v>
      </c>
      <c r="P76" s="383" t="s">
        <v>970</v>
      </c>
      <c r="Q76" s="383"/>
      <c r="R76" s="431">
        <v>487000</v>
      </c>
      <c r="S76" s="158">
        <v>0</v>
      </c>
      <c r="T76" s="158">
        <v>0</v>
      </c>
      <c r="U76" s="158">
        <v>0</v>
      </c>
      <c r="V76" s="158">
        <v>0</v>
      </c>
      <c r="W76" s="158">
        <v>0</v>
      </c>
      <c r="X76" s="158">
        <v>0</v>
      </c>
      <c r="Y76" s="158">
        <v>0</v>
      </c>
      <c r="Z76" s="158">
        <v>0</v>
      </c>
      <c r="AA76" s="432">
        <v>341000</v>
      </c>
      <c r="AB76" s="432">
        <v>0</v>
      </c>
      <c r="AC76" s="432">
        <v>341000</v>
      </c>
      <c r="AD76" s="432">
        <v>341000</v>
      </c>
      <c r="AE76" s="432">
        <v>410000</v>
      </c>
      <c r="AF76" s="432">
        <v>341000</v>
      </c>
      <c r="AG76" s="432">
        <v>341000</v>
      </c>
      <c r="AH76" s="432">
        <v>341000</v>
      </c>
      <c r="AI76" s="158">
        <v>146340</v>
      </c>
      <c r="AJ76" s="158">
        <v>0</v>
      </c>
      <c r="AK76" s="158">
        <v>146340</v>
      </c>
      <c r="AL76" s="158">
        <v>146340</v>
      </c>
      <c r="AM76" s="158">
        <v>3456000</v>
      </c>
      <c r="AN76" s="158">
        <v>146340</v>
      </c>
      <c r="AO76" s="158">
        <v>146340</v>
      </c>
      <c r="AP76" s="158">
        <v>146000</v>
      </c>
      <c r="AQ76" s="432">
        <v>0</v>
      </c>
      <c r="AR76" s="432">
        <v>0</v>
      </c>
      <c r="AS76" s="432">
        <v>0</v>
      </c>
      <c r="AT76" s="432">
        <v>0</v>
      </c>
      <c r="AU76" s="432">
        <v>0</v>
      </c>
      <c r="AV76" s="432">
        <v>0</v>
      </c>
      <c r="AW76" s="432">
        <v>0</v>
      </c>
      <c r="AX76" s="432">
        <v>0</v>
      </c>
      <c r="AY76" s="158">
        <v>0</v>
      </c>
      <c r="AZ76" s="158">
        <v>0</v>
      </c>
      <c r="BA76" s="158">
        <v>0</v>
      </c>
      <c r="BB76" s="158">
        <v>0</v>
      </c>
      <c r="BC76" s="158">
        <v>0</v>
      </c>
      <c r="BD76" s="158">
        <v>0</v>
      </c>
      <c r="BE76" s="158">
        <v>0</v>
      </c>
      <c r="BF76" s="160">
        <v>0</v>
      </c>
      <c r="BG76" s="383">
        <v>2023</v>
      </c>
      <c r="BH76" s="383">
        <v>1</v>
      </c>
      <c r="BI76" s="383">
        <v>19</v>
      </c>
      <c r="BK76" s="147" t="str">
        <f>IF(R76=SUM(Z76,AH76,AP76,AX76,BF76),"○","×")</f>
        <v>○</v>
      </c>
    </row>
    <row r="77" spans="1:63" x14ac:dyDescent="0.2">
      <c r="A77" s="428">
        <v>1091</v>
      </c>
      <c r="B77" s="429"/>
      <c r="C77" s="430"/>
      <c r="D77" s="429"/>
      <c r="E77" s="430"/>
      <c r="F77" s="429"/>
      <c r="G77" s="429"/>
      <c r="H77" s="430"/>
      <c r="I77" s="429"/>
      <c r="J77" s="429"/>
      <c r="K77" s="429"/>
      <c r="L77" s="383"/>
      <c r="M77" s="383" t="s">
        <v>473</v>
      </c>
      <c r="N77" s="383" t="s">
        <v>343</v>
      </c>
      <c r="O77" s="383" t="s">
        <v>474</v>
      </c>
      <c r="P77" s="383" t="s">
        <v>970</v>
      </c>
      <c r="Q77" s="383"/>
      <c r="R77" s="431">
        <v>351000</v>
      </c>
      <c r="S77" s="158">
        <v>0</v>
      </c>
      <c r="T77" s="158">
        <v>0</v>
      </c>
      <c r="U77" s="158">
        <v>0</v>
      </c>
      <c r="V77" s="158">
        <v>0</v>
      </c>
      <c r="W77" s="158">
        <v>0</v>
      </c>
      <c r="X77" s="158">
        <v>0</v>
      </c>
      <c r="Y77" s="158">
        <v>0</v>
      </c>
      <c r="Z77" s="158">
        <v>0</v>
      </c>
      <c r="AA77" s="432">
        <v>0</v>
      </c>
      <c r="AB77" s="432">
        <v>0</v>
      </c>
      <c r="AC77" s="432">
        <v>0</v>
      </c>
      <c r="AD77" s="432">
        <v>0</v>
      </c>
      <c r="AE77" s="432">
        <v>0</v>
      </c>
      <c r="AF77" s="432">
        <v>0</v>
      </c>
      <c r="AG77" s="432">
        <v>0</v>
      </c>
      <c r="AH77" s="432">
        <v>0</v>
      </c>
      <c r="AI77" s="158">
        <v>351644</v>
      </c>
      <c r="AJ77" s="158">
        <v>0</v>
      </c>
      <c r="AK77" s="158">
        <v>351644</v>
      </c>
      <c r="AL77" s="158">
        <v>351644</v>
      </c>
      <c r="AM77" s="158">
        <v>3920400</v>
      </c>
      <c r="AN77" s="158">
        <v>351644</v>
      </c>
      <c r="AO77" s="158">
        <v>351644</v>
      </c>
      <c r="AP77" s="158">
        <v>351000</v>
      </c>
      <c r="AQ77" s="432">
        <v>0</v>
      </c>
      <c r="AR77" s="432">
        <v>0</v>
      </c>
      <c r="AS77" s="432">
        <v>0</v>
      </c>
      <c r="AT77" s="432">
        <v>0</v>
      </c>
      <c r="AU77" s="432">
        <v>0</v>
      </c>
      <c r="AV77" s="432">
        <v>0</v>
      </c>
      <c r="AW77" s="432">
        <v>0</v>
      </c>
      <c r="AX77" s="432">
        <v>0</v>
      </c>
      <c r="AY77" s="158">
        <v>0</v>
      </c>
      <c r="AZ77" s="158">
        <v>0</v>
      </c>
      <c r="BA77" s="158">
        <v>0</v>
      </c>
      <c r="BB77" s="158">
        <v>0</v>
      </c>
      <c r="BC77" s="158">
        <v>0</v>
      </c>
      <c r="BD77" s="158">
        <v>0</v>
      </c>
      <c r="BE77" s="158">
        <v>0</v>
      </c>
      <c r="BF77" s="160">
        <v>0</v>
      </c>
      <c r="BG77" s="383">
        <v>2023</v>
      </c>
      <c r="BH77" s="383">
        <v>1</v>
      </c>
      <c r="BI77" s="383">
        <v>19</v>
      </c>
      <c r="BK77" s="147" t="str">
        <f>IF(R77=SUM(Z77,AH77,AP77,AX77,BF77),"○","×")</f>
        <v>○</v>
      </c>
    </row>
    <row r="78" spans="1:63" x14ac:dyDescent="0.2">
      <c r="A78" s="428">
        <v>1092</v>
      </c>
      <c r="B78" s="429"/>
      <c r="C78" s="430"/>
      <c r="D78" s="429"/>
      <c r="E78" s="430"/>
      <c r="F78" s="429"/>
      <c r="G78" s="429"/>
      <c r="H78" s="430"/>
      <c r="I78" s="429"/>
      <c r="J78" s="429"/>
      <c r="K78" s="429"/>
      <c r="L78" s="383"/>
      <c r="M78" s="383" t="s">
        <v>475</v>
      </c>
      <c r="N78" s="383" t="s">
        <v>367</v>
      </c>
      <c r="O78" s="383" t="s">
        <v>476</v>
      </c>
      <c r="P78" s="383" t="s">
        <v>970</v>
      </c>
      <c r="Q78" s="383"/>
      <c r="R78" s="431">
        <v>912000</v>
      </c>
      <c r="S78" s="158">
        <v>0</v>
      </c>
      <c r="T78" s="158">
        <v>0</v>
      </c>
      <c r="U78" s="158">
        <v>0</v>
      </c>
      <c r="V78" s="158">
        <v>0</v>
      </c>
      <c r="W78" s="158">
        <v>0</v>
      </c>
      <c r="X78" s="158">
        <v>0</v>
      </c>
      <c r="Y78" s="158">
        <v>0</v>
      </c>
      <c r="Z78" s="158">
        <v>0</v>
      </c>
      <c r="AA78" s="432">
        <v>387200</v>
      </c>
      <c r="AB78" s="432">
        <v>0</v>
      </c>
      <c r="AC78" s="432">
        <v>387200</v>
      </c>
      <c r="AD78" s="432">
        <v>387200</v>
      </c>
      <c r="AE78" s="432">
        <v>410000</v>
      </c>
      <c r="AF78" s="432">
        <v>387200</v>
      </c>
      <c r="AG78" s="432">
        <v>387200</v>
      </c>
      <c r="AH78" s="432">
        <v>387000</v>
      </c>
      <c r="AI78" s="158">
        <v>525420</v>
      </c>
      <c r="AJ78" s="158">
        <v>0</v>
      </c>
      <c r="AK78" s="158">
        <v>525420</v>
      </c>
      <c r="AL78" s="158">
        <v>525420</v>
      </c>
      <c r="AM78" s="158">
        <v>4752000</v>
      </c>
      <c r="AN78" s="158">
        <v>525420</v>
      </c>
      <c r="AO78" s="158">
        <v>525420</v>
      </c>
      <c r="AP78" s="158">
        <v>525000</v>
      </c>
      <c r="AQ78" s="432">
        <v>0</v>
      </c>
      <c r="AR78" s="432">
        <v>0</v>
      </c>
      <c r="AS78" s="432">
        <v>0</v>
      </c>
      <c r="AT78" s="432">
        <v>0</v>
      </c>
      <c r="AU78" s="432">
        <v>0</v>
      </c>
      <c r="AV78" s="432">
        <v>0</v>
      </c>
      <c r="AW78" s="432">
        <v>0</v>
      </c>
      <c r="AX78" s="432">
        <v>0</v>
      </c>
      <c r="AY78" s="158">
        <v>0</v>
      </c>
      <c r="AZ78" s="158">
        <v>0</v>
      </c>
      <c r="BA78" s="158">
        <v>0</v>
      </c>
      <c r="BB78" s="158">
        <v>0</v>
      </c>
      <c r="BC78" s="158">
        <v>0</v>
      </c>
      <c r="BD78" s="158">
        <v>0</v>
      </c>
      <c r="BE78" s="158">
        <v>0</v>
      </c>
      <c r="BF78" s="160">
        <v>0</v>
      </c>
      <c r="BG78" s="383">
        <v>2023</v>
      </c>
      <c r="BH78" s="383">
        <v>1</v>
      </c>
      <c r="BI78" s="383">
        <v>19</v>
      </c>
      <c r="BK78" s="147" t="str">
        <f>IF(R78=SUM(Z78,AH78,AP78,AX78,BF78),"○","×")</f>
        <v>○</v>
      </c>
    </row>
    <row r="79" spans="1:63" x14ac:dyDescent="0.2">
      <c r="A79" s="428">
        <v>1093</v>
      </c>
      <c r="B79" s="429"/>
      <c r="C79" s="430"/>
      <c r="D79" s="429"/>
      <c r="E79" s="430"/>
      <c r="F79" s="429"/>
      <c r="G79" s="429"/>
      <c r="H79" s="430"/>
      <c r="I79" s="429"/>
      <c r="J79" s="429"/>
      <c r="K79" s="429"/>
      <c r="L79" s="383"/>
      <c r="M79" s="383" t="s">
        <v>477</v>
      </c>
      <c r="N79" s="383" t="s">
        <v>353</v>
      </c>
      <c r="O79" s="383" t="s">
        <v>378</v>
      </c>
      <c r="P79" s="383" t="s">
        <v>970</v>
      </c>
      <c r="Q79" s="383"/>
      <c r="R79" s="431">
        <v>1260000</v>
      </c>
      <c r="S79" s="158">
        <v>0</v>
      </c>
      <c r="T79" s="158">
        <v>0</v>
      </c>
      <c r="U79" s="158">
        <v>0</v>
      </c>
      <c r="V79" s="158">
        <v>0</v>
      </c>
      <c r="W79" s="158">
        <v>0</v>
      </c>
      <c r="X79" s="158">
        <v>0</v>
      </c>
      <c r="Y79" s="158">
        <v>0</v>
      </c>
      <c r="Z79" s="158">
        <v>0</v>
      </c>
      <c r="AA79" s="432">
        <v>0</v>
      </c>
      <c r="AB79" s="432">
        <v>0</v>
      </c>
      <c r="AC79" s="432">
        <v>0</v>
      </c>
      <c r="AD79" s="432">
        <v>0</v>
      </c>
      <c r="AE79" s="432">
        <v>0</v>
      </c>
      <c r="AF79" s="432">
        <v>0</v>
      </c>
      <c r="AG79" s="432">
        <v>0</v>
      </c>
      <c r="AH79" s="432">
        <v>0</v>
      </c>
      <c r="AI79" s="158">
        <v>1158450</v>
      </c>
      <c r="AJ79" s="158">
        <v>0</v>
      </c>
      <c r="AK79" s="158">
        <v>1158450</v>
      </c>
      <c r="AL79" s="158">
        <v>1158450</v>
      </c>
      <c r="AM79" s="158">
        <v>5148000</v>
      </c>
      <c r="AN79" s="158">
        <v>1158450</v>
      </c>
      <c r="AO79" s="158">
        <v>1158450</v>
      </c>
      <c r="AP79" s="158">
        <v>1158000</v>
      </c>
      <c r="AQ79" s="432">
        <v>0</v>
      </c>
      <c r="AR79" s="432">
        <v>0</v>
      </c>
      <c r="AS79" s="432">
        <v>0</v>
      </c>
      <c r="AT79" s="432">
        <v>0</v>
      </c>
      <c r="AU79" s="432">
        <v>0</v>
      </c>
      <c r="AV79" s="432">
        <v>0</v>
      </c>
      <c r="AW79" s="432">
        <v>0</v>
      </c>
      <c r="AX79" s="432">
        <v>0</v>
      </c>
      <c r="AY79" s="158">
        <v>102102</v>
      </c>
      <c r="AZ79" s="158">
        <v>0</v>
      </c>
      <c r="BA79" s="158">
        <v>102102</v>
      </c>
      <c r="BB79" s="158">
        <v>102102</v>
      </c>
      <c r="BC79" s="158">
        <v>102102</v>
      </c>
      <c r="BD79" s="158">
        <v>102102</v>
      </c>
      <c r="BE79" s="158">
        <v>102102</v>
      </c>
      <c r="BF79" s="160">
        <v>102000</v>
      </c>
      <c r="BG79" s="383">
        <v>2023</v>
      </c>
      <c r="BH79" s="383">
        <v>1</v>
      </c>
      <c r="BI79" s="383">
        <v>19</v>
      </c>
      <c r="BK79" s="147" t="str">
        <f>IF(R79=SUM(Z79,AH79,AP79,AX79,BF79),"○","×")</f>
        <v>○</v>
      </c>
    </row>
    <row r="80" spans="1:63" x14ac:dyDescent="0.2">
      <c r="A80" s="428">
        <v>1094</v>
      </c>
      <c r="B80" s="429"/>
      <c r="C80" s="430"/>
      <c r="D80" s="429"/>
      <c r="E80" s="430"/>
      <c r="F80" s="429"/>
      <c r="G80" s="429"/>
      <c r="H80" s="430"/>
      <c r="I80" s="429"/>
      <c r="J80" s="429"/>
      <c r="K80" s="429"/>
      <c r="L80" s="383"/>
      <c r="M80" s="383" t="s">
        <v>328</v>
      </c>
      <c r="N80" s="383" t="s">
        <v>329</v>
      </c>
      <c r="O80" s="383" t="s">
        <v>330</v>
      </c>
      <c r="P80" s="383" t="s">
        <v>970</v>
      </c>
      <c r="Q80" s="383"/>
      <c r="R80" s="431">
        <v>97000</v>
      </c>
      <c r="S80" s="158">
        <v>0</v>
      </c>
      <c r="T80" s="158">
        <v>0</v>
      </c>
      <c r="U80" s="158">
        <v>0</v>
      </c>
      <c r="V80" s="158">
        <v>0</v>
      </c>
      <c r="W80" s="158">
        <v>0</v>
      </c>
      <c r="X80" s="158">
        <v>0</v>
      </c>
      <c r="Y80" s="158">
        <v>0</v>
      </c>
      <c r="Z80" s="158">
        <v>0</v>
      </c>
      <c r="AA80" s="432">
        <v>0</v>
      </c>
      <c r="AB80" s="432">
        <v>0</v>
      </c>
      <c r="AC80" s="432">
        <v>0</v>
      </c>
      <c r="AD80" s="432">
        <v>0</v>
      </c>
      <c r="AE80" s="432">
        <v>0</v>
      </c>
      <c r="AF80" s="432">
        <v>0</v>
      </c>
      <c r="AG80" s="432">
        <v>0</v>
      </c>
      <c r="AH80" s="432">
        <v>0</v>
      </c>
      <c r="AI80" s="158">
        <v>0</v>
      </c>
      <c r="AJ80" s="158">
        <v>0</v>
      </c>
      <c r="AK80" s="158">
        <v>0</v>
      </c>
      <c r="AL80" s="158">
        <v>0</v>
      </c>
      <c r="AM80" s="158">
        <v>0</v>
      </c>
      <c r="AN80" s="158">
        <v>0</v>
      </c>
      <c r="AO80" s="158">
        <v>0</v>
      </c>
      <c r="AP80" s="158">
        <v>0</v>
      </c>
      <c r="AQ80" s="432">
        <v>97240</v>
      </c>
      <c r="AR80" s="432">
        <v>0</v>
      </c>
      <c r="AS80" s="432">
        <v>97240</v>
      </c>
      <c r="AT80" s="432">
        <v>97240</v>
      </c>
      <c r="AU80" s="432">
        <v>102800</v>
      </c>
      <c r="AV80" s="432">
        <v>97240</v>
      </c>
      <c r="AW80" s="432">
        <v>97240</v>
      </c>
      <c r="AX80" s="432">
        <v>97000</v>
      </c>
      <c r="AY80" s="158">
        <v>0</v>
      </c>
      <c r="AZ80" s="158">
        <v>0</v>
      </c>
      <c r="BA80" s="158">
        <v>0</v>
      </c>
      <c r="BB80" s="158">
        <v>0</v>
      </c>
      <c r="BC80" s="158">
        <v>0</v>
      </c>
      <c r="BD80" s="158">
        <v>0</v>
      </c>
      <c r="BE80" s="158">
        <v>0</v>
      </c>
      <c r="BF80" s="160">
        <v>0</v>
      </c>
      <c r="BG80" s="383">
        <v>2023</v>
      </c>
      <c r="BH80" s="383">
        <v>1</v>
      </c>
      <c r="BI80" s="383">
        <v>19</v>
      </c>
      <c r="BK80" s="147" t="str">
        <f>IF(R80=SUM(Z80,AH80,AP80,AX80,BF80),"○","×")</f>
        <v>○</v>
      </c>
    </row>
    <row r="81" spans="1:63" x14ac:dyDescent="0.2">
      <c r="A81" s="428">
        <v>1095</v>
      </c>
      <c r="B81" s="429"/>
      <c r="C81" s="430"/>
      <c r="D81" s="429"/>
      <c r="E81" s="430"/>
      <c r="F81" s="429"/>
      <c r="G81" s="429"/>
      <c r="H81" s="430"/>
      <c r="I81" s="429"/>
      <c r="J81" s="429"/>
      <c r="K81" s="429"/>
      <c r="L81" s="383"/>
      <c r="M81" s="383" t="s">
        <v>478</v>
      </c>
      <c r="N81" s="383" t="s">
        <v>332</v>
      </c>
      <c r="O81" s="383" t="s">
        <v>479</v>
      </c>
      <c r="P81" s="383" t="s">
        <v>970</v>
      </c>
      <c r="Q81" s="383"/>
      <c r="R81" s="431">
        <v>628000</v>
      </c>
      <c r="S81" s="158">
        <v>0</v>
      </c>
      <c r="T81" s="158">
        <v>0</v>
      </c>
      <c r="U81" s="158">
        <v>0</v>
      </c>
      <c r="V81" s="158">
        <v>0</v>
      </c>
      <c r="W81" s="158">
        <v>0</v>
      </c>
      <c r="X81" s="158">
        <v>0</v>
      </c>
      <c r="Y81" s="158">
        <v>0</v>
      </c>
      <c r="Z81" s="158">
        <v>0</v>
      </c>
      <c r="AA81" s="432">
        <v>315964</v>
      </c>
      <c r="AB81" s="432">
        <v>0</v>
      </c>
      <c r="AC81" s="432">
        <v>315964</v>
      </c>
      <c r="AD81" s="432">
        <v>315964</v>
      </c>
      <c r="AE81" s="432">
        <v>410000</v>
      </c>
      <c r="AF81" s="432">
        <v>315964</v>
      </c>
      <c r="AG81" s="432">
        <v>315964</v>
      </c>
      <c r="AH81" s="432">
        <v>315000</v>
      </c>
      <c r="AI81" s="158">
        <v>313900</v>
      </c>
      <c r="AJ81" s="158">
        <v>0</v>
      </c>
      <c r="AK81" s="158">
        <v>313900</v>
      </c>
      <c r="AL81" s="158">
        <v>313900</v>
      </c>
      <c r="AM81" s="158">
        <v>4118400</v>
      </c>
      <c r="AN81" s="158">
        <v>313900</v>
      </c>
      <c r="AO81" s="158">
        <v>313900</v>
      </c>
      <c r="AP81" s="158">
        <v>313000</v>
      </c>
      <c r="AQ81" s="432">
        <v>0</v>
      </c>
      <c r="AR81" s="432">
        <v>0</v>
      </c>
      <c r="AS81" s="432">
        <v>0</v>
      </c>
      <c r="AT81" s="432">
        <v>0</v>
      </c>
      <c r="AU81" s="432">
        <v>0</v>
      </c>
      <c r="AV81" s="432">
        <v>0</v>
      </c>
      <c r="AW81" s="432">
        <v>0</v>
      </c>
      <c r="AX81" s="432">
        <v>0</v>
      </c>
      <c r="AY81" s="158">
        <v>0</v>
      </c>
      <c r="AZ81" s="158">
        <v>0</v>
      </c>
      <c r="BA81" s="158">
        <v>0</v>
      </c>
      <c r="BB81" s="158">
        <v>0</v>
      </c>
      <c r="BC81" s="158">
        <v>0</v>
      </c>
      <c r="BD81" s="158">
        <v>0</v>
      </c>
      <c r="BE81" s="158">
        <v>0</v>
      </c>
      <c r="BF81" s="160">
        <v>0</v>
      </c>
      <c r="BG81" s="383">
        <v>2023</v>
      </c>
      <c r="BH81" s="383">
        <v>1</v>
      </c>
      <c r="BI81" s="383">
        <v>19</v>
      </c>
      <c r="BK81" s="147" t="str">
        <f>IF(R81=SUM(Z81,AH81,AP81,AX81,BF81),"○","×")</f>
        <v>○</v>
      </c>
    </row>
    <row r="82" spans="1:63" x14ac:dyDescent="0.2">
      <c r="A82" s="428">
        <v>1096</v>
      </c>
      <c r="B82" s="429"/>
      <c r="C82" s="430"/>
      <c r="D82" s="429"/>
      <c r="E82" s="430"/>
      <c r="F82" s="429"/>
      <c r="G82" s="429"/>
      <c r="H82" s="430"/>
      <c r="I82" s="429"/>
      <c r="J82" s="429"/>
      <c r="K82" s="429"/>
      <c r="L82" s="383"/>
      <c r="M82" s="383" t="s">
        <v>394</v>
      </c>
      <c r="N82" s="383" t="s">
        <v>367</v>
      </c>
      <c r="O82" s="383" t="s">
        <v>395</v>
      </c>
      <c r="P82" s="383" t="s">
        <v>970</v>
      </c>
      <c r="Q82" s="383"/>
      <c r="R82" s="431">
        <v>882000</v>
      </c>
      <c r="S82" s="158">
        <v>0</v>
      </c>
      <c r="T82" s="158">
        <v>0</v>
      </c>
      <c r="U82" s="158">
        <v>0</v>
      </c>
      <c r="V82" s="158">
        <v>0</v>
      </c>
      <c r="W82" s="158">
        <v>0</v>
      </c>
      <c r="X82" s="158">
        <v>0</v>
      </c>
      <c r="Y82" s="158">
        <v>0</v>
      </c>
      <c r="Z82" s="158">
        <v>0</v>
      </c>
      <c r="AA82" s="432">
        <v>820160</v>
      </c>
      <c r="AB82" s="432">
        <v>0</v>
      </c>
      <c r="AC82" s="432">
        <v>820160</v>
      </c>
      <c r="AD82" s="432">
        <v>820160</v>
      </c>
      <c r="AE82" s="432">
        <v>820000</v>
      </c>
      <c r="AF82" s="432">
        <v>820000</v>
      </c>
      <c r="AG82" s="432">
        <v>820000</v>
      </c>
      <c r="AH82" s="432">
        <v>820000</v>
      </c>
      <c r="AI82" s="158">
        <v>62680</v>
      </c>
      <c r="AJ82" s="158">
        <v>0</v>
      </c>
      <c r="AK82" s="158">
        <v>62680</v>
      </c>
      <c r="AL82" s="158">
        <v>62680</v>
      </c>
      <c r="AM82" s="158">
        <v>2001600</v>
      </c>
      <c r="AN82" s="158">
        <v>62680</v>
      </c>
      <c r="AO82" s="158">
        <v>62680</v>
      </c>
      <c r="AP82" s="158">
        <v>62000</v>
      </c>
      <c r="AQ82" s="432">
        <v>0</v>
      </c>
      <c r="AR82" s="432">
        <v>0</v>
      </c>
      <c r="AS82" s="432">
        <v>0</v>
      </c>
      <c r="AT82" s="432">
        <v>0</v>
      </c>
      <c r="AU82" s="432">
        <v>0</v>
      </c>
      <c r="AV82" s="432">
        <v>0</v>
      </c>
      <c r="AW82" s="432">
        <v>0</v>
      </c>
      <c r="AX82" s="432">
        <v>0</v>
      </c>
      <c r="AY82" s="158">
        <v>0</v>
      </c>
      <c r="AZ82" s="158">
        <v>0</v>
      </c>
      <c r="BA82" s="158">
        <v>0</v>
      </c>
      <c r="BB82" s="158">
        <v>0</v>
      </c>
      <c r="BC82" s="158">
        <v>0</v>
      </c>
      <c r="BD82" s="158">
        <v>0</v>
      </c>
      <c r="BE82" s="158">
        <v>0</v>
      </c>
      <c r="BF82" s="160">
        <v>0</v>
      </c>
      <c r="BG82" s="383">
        <v>2023</v>
      </c>
      <c r="BH82" s="383">
        <v>1</v>
      </c>
      <c r="BI82" s="383">
        <v>19</v>
      </c>
      <c r="BK82" s="147" t="str">
        <f>IF(R82=SUM(Z82,AH82,AP82,AX82,BF82),"○","×")</f>
        <v>○</v>
      </c>
    </row>
    <row r="83" spans="1:63" x14ac:dyDescent="0.2">
      <c r="A83" s="428">
        <v>1097</v>
      </c>
      <c r="B83" s="429"/>
      <c r="C83" s="430"/>
      <c r="D83" s="429"/>
      <c r="E83" s="430"/>
      <c r="F83" s="429"/>
      <c r="G83" s="429"/>
      <c r="H83" s="430"/>
      <c r="I83" s="429"/>
      <c r="J83" s="429"/>
      <c r="K83" s="429"/>
      <c r="L83" s="383"/>
      <c r="M83" s="383" t="s">
        <v>451</v>
      </c>
      <c r="N83" s="383" t="s">
        <v>367</v>
      </c>
      <c r="O83" s="383" t="s">
        <v>375</v>
      </c>
      <c r="P83" s="383" t="s">
        <v>970</v>
      </c>
      <c r="Q83" s="383"/>
      <c r="R83" s="431">
        <v>432000</v>
      </c>
      <c r="S83" s="158">
        <v>0</v>
      </c>
      <c r="T83" s="158">
        <v>0</v>
      </c>
      <c r="U83" s="158">
        <v>0</v>
      </c>
      <c r="V83" s="158">
        <v>0</v>
      </c>
      <c r="W83" s="158">
        <v>0</v>
      </c>
      <c r="X83" s="158">
        <v>0</v>
      </c>
      <c r="Y83" s="158">
        <v>0</v>
      </c>
      <c r="Z83" s="158">
        <v>0</v>
      </c>
      <c r="AA83" s="432">
        <v>506000</v>
      </c>
      <c r="AB83" s="432">
        <v>0</v>
      </c>
      <c r="AC83" s="432">
        <v>506000</v>
      </c>
      <c r="AD83" s="432">
        <v>506000</v>
      </c>
      <c r="AE83" s="432">
        <v>410000</v>
      </c>
      <c r="AF83" s="432">
        <v>410000</v>
      </c>
      <c r="AG83" s="432">
        <v>410000</v>
      </c>
      <c r="AH83" s="432">
        <v>410000</v>
      </c>
      <c r="AI83" s="158">
        <v>0</v>
      </c>
      <c r="AJ83" s="158">
        <v>0</v>
      </c>
      <c r="AK83" s="158">
        <v>0</v>
      </c>
      <c r="AL83" s="158">
        <v>0</v>
      </c>
      <c r="AM83" s="158">
        <v>0</v>
      </c>
      <c r="AN83" s="158">
        <v>0</v>
      </c>
      <c r="AO83" s="158">
        <v>0</v>
      </c>
      <c r="AP83" s="158">
        <v>0</v>
      </c>
      <c r="AQ83" s="432">
        <v>22000</v>
      </c>
      <c r="AR83" s="432">
        <v>0</v>
      </c>
      <c r="AS83" s="432">
        <v>22000</v>
      </c>
      <c r="AT83" s="432">
        <v>22000</v>
      </c>
      <c r="AU83" s="432">
        <v>51400</v>
      </c>
      <c r="AV83" s="432">
        <v>22000</v>
      </c>
      <c r="AW83" s="432">
        <v>22000</v>
      </c>
      <c r="AX83" s="432">
        <v>22000</v>
      </c>
      <c r="AY83" s="158">
        <v>0</v>
      </c>
      <c r="AZ83" s="158">
        <v>0</v>
      </c>
      <c r="BA83" s="158">
        <v>0</v>
      </c>
      <c r="BB83" s="158">
        <v>0</v>
      </c>
      <c r="BC83" s="158">
        <v>0</v>
      </c>
      <c r="BD83" s="158">
        <v>0</v>
      </c>
      <c r="BE83" s="158">
        <v>0</v>
      </c>
      <c r="BF83" s="160">
        <v>0</v>
      </c>
      <c r="BG83" s="383">
        <v>2023</v>
      </c>
      <c r="BH83" s="383">
        <v>1</v>
      </c>
      <c r="BI83" s="383">
        <v>19</v>
      </c>
      <c r="BK83" s="147" t="str">
        <f>IF(R83=SUM(Z83,AH83,AP83,AX83,BF83),"○","×")</f>
        <v>○</v>
      </c>
    </row>
    <row r="84" spans="1:63" x14ac:dyDescent="0.2">
      <c r="A84" s="428">
        <v>1098</v>
      </c>
      <c r="B84" s="429"/>
      <c r="C84" s="430"/>
      <c r="D84" s="429"/>
      <c r="E84" s="430"/>
      <c r="F84" s="429"/>
      <c r="G84" s="429"/>
      <c r="H84" s="430"/>
      <c r="I84" s="429"/>
      <c r="J84" s="429"/>
      <c r="K84" s="429"/>
      <c r="L84" s="383"/>
      <c r="M84" s="383" t="s">
        <v>331</v>
      </c>
      <c r="N84" s="383" t="s">
        <v>332</v>
      </c>
      <c r="O84" s="383" t="s">
        <v>333</v>
      </c>
      <c r="P84" s="383" t="s">
        <v>970</v>
      </c>
      <c r="Q84" s="383"/>
      <c r="R84" s="431">
        <v>349000</v>
      </c>
      <c r="S84" s="158">
        <v>0</v>
      </c>
      <c r="T84" s="158">
        <v>0</v>
      </c>
      <c r="U84" s="158">
        <v>0</v>
      </c>
      <c r="V84" s="158">
        <v>0</v>
      </c>
      <c r="W84" s="158">
        <v>0</v>
      </c>
      <c r="X84" s="158">
        <v>0</v>
      </c>
      <c r="Y84" s="158">
        <v>0</v>
      </c>
      <c r="Z84" s="158">
        <v>0</v>
      </c>
      <c r="AA84" s="432">
        <v>0</v>
      </c>
      <c r="AB84" s="432">
        <v>0</v>
      </c>
      <c r="AC84" s="432">
        <v>0</v>
      </c>
      <c r="AD84" s="432">
        <v>0</v>
      </c>
      <c r="AE84" s="432">
        <v>0</v>
      </c>
      <c r="AF84" s="432">
        <v>0</v>
      </c>
      <c r="AG84" s="432">
        <v>0</v>
      </c>
      <c r="AH84" s="432">
        <v>0</v>
      </c>
      <c r="AI84" s="158">
        <v>349580</v>
      </c>
      <c r="AJ84" s="158">
        <v>0</v>
      </c>
      <c r="AK84" s="158">
        <v>349580</v>
      </c>
      <c r="AL84" s="158">
        <v>349580</v>
      </c>
      <c r="AM84" s="158">
        <v>6480000</v>
      </c>
      <c r="AN84" s="158">
        <v>349580</v>
      </c>
      <c r="AO84" s="158">
        <v>349580</v>
      </c>
      <c r="AP84" s="158">
        <v>349000</v>
      </c>
      <c r="AQ84" s="432">
        <v>0</v>
      </c>
      <c r="AR84" s="432">
        <v>0</v>
      </c>
      <c r="AS84" s="432">
        <v>0</v>
      </c>
      <c r="AT84" s="432">
        <v>0</v>
      </c>
      <c r="AU84" s="432">
        <v>0</v>
      </c>
      <c r="AV84" s="432">
        <v>0</v>
      </c>
      <c r="AW84" s="432">
        <v>0</v>
      </c>
      <c r="AX84" s="432">
        <v>0</v>
      </c>
      <c r="AY84" s="158">
        <v>0</v>
      </c>
      <c r="AZ84" s="158">
        <v>0</v>
      </c>
      <c r="BA84" s="158">
        <v>0</v>
      </c>
      <c r="BB84" s="158">
        <v>0</v>
      </c>
      <c r="BC84" s="158">
        <v>0</v>
      </c>
      <c r="BD84" s="158">
        <v>0</v>
      </c>
      <c r="BE84" s="158">
        <v>0</v>
      </c>
      <c r="BF84" s="160">
        <v>0</v>
      </c>
      <c r="BG84" s="383">
        <v>2023</v>
      </c>
      <c r="BH84" s="383">
        <v>1</v>
      </c>
      <c r="BI84" s="383">
        <v>19</v>
      </c>
      <c r="BK84" s="147" t="str">
        <f>IF(R84=SUM(Z84,AH84,AP84,AX84,BF84),"○","×")</f>
        <v>○</v>
      </c>
    </row>
    <row r="85" spans="1:63" x14ac:dyDescent="0.2">
      <c r="A85" s="428">
        <v>1100</v>
      </c>
      <c r="B85" s="429"/>
      <c r="C85" s="430"/>
      <c r="D85" s="429"/>
      <c r="E85" s="430"/>
      <c r="F85" s="429"/>
      <c r="G85" s="429"/>
      <c r="H85" s="430"/>
      <c r="I85" s="429"/>
      <c r="J85" s="429"/>
      <c r="K85" s="429"/>
      <c r="L85" s="383"/>
      <c r="M85" s="383" t="s">
        <v>480</v>
      </c>
      <c r="N85" s="383" t="s">
        <v>367</v>
      </c>
      <c r="O85" s="383" t="s">
        <v>481</v>
      </c>
      <c r="P85" s="383" t="s">
        <v>970</v>
      </c>
      <c r="Q85" s="383"/>
      <c r="R85" s="431">
        <v>904000</v>
      </c>
      <c r="S85" s="158">
        <v>904200</v>
      </c>
      <c r="T85" s="158">
        <v>0</v>
      </c>
      <c r="U85" s="158">
        <v>904200</v>
      </c>
      <c r="V85" s="158">
        <v>904200</v>
      </c>
      <c r="W85" s="158">
        <v>905000</v>
      </c>
      <c r="X85" s="158">
        <v>904200</v>
      </c>
      <c r="Y85" s="158">
        <v>904200</v>
      </c>
      <c r="Z85" s="158">
        <v>904000</v>
      </c>
      <c r="AA85" s="432">
        <v>0</v>
      </c>
      <c r="AB85" s="432">
        <v>0</v>
      </c>
      <c r="AC85" s="432">
        <v>0</v>
      </c>
      <c r="AD85" s="432">
        <v>0</v>
      </c>
      <c r="AE85" s="432">
        <v>0</v>
      </c>
      <c r="AF85" s="432">
        <v>0</v>
      </c>
      <c r="AG85" s="432">
        <v>0</v>
      </c>
      <c r="AH85" s="432">
        <v>0</v>
      </c>
      <c r="AI85" s="158">
        <v>0</v>
      </c>
      <c r="AJ85" s="158">
        <v>0</v>
      </c>
      <c r="AK85" s="158">
        <v>0</v>
      </c>
      <c r="AL85" s="158">
        <v>0</v>
      </c>
      <c r="AM85" s="158">
        <v>0</v>
      </c>
      <c r="AN85" s="158">
        <v>0</v>
      </c>
      <c r="AO85" s="158">
        <v>0</v>
      </c>
      <c r="AP85" s="158">
        <v>0</v>
      </c>
      <c r="AQ85" s="432">
        <v>0</v>
      </c>
      <c r="AR85" s="432">
        <v>0</v>
      </c>
      <c r="AS85" s="432">
        <v>0</v>
      </c>
      <c r="AT85" s="432">
        <v>0</v>
      </c>
      <c r="AU85" s="432">
        <v>0</v>
      </c>
      <c r="AV85" s="432">
        <v>0</v>
      </c>
      <c r="AW85" s="432">
        <v>0</v>
      </c>
      <c r="AX85" s="432">
        <v>0</v>
      </c>
      <c r="AY85" s="158">
        <v>0</v>
      </c>
      <c r="AZ85" s="158">
        <v>0</v>
      </c>
      <c r="BA85" s="158">
        <v>0</v>
      </c>
      <c r="BB85" s="158">
        <v>0</v>
      </c>
      <c r="BC85" s="158">
        <v>0</v>
      </c>
      <c r="BD85" s="158">
        <v>0</v>
      </c>
      <c r="BE85" s="158">
        <v>0</v>
      </c>
      <c r="BF85" s="160">
        <v>0</v>
      </c>
      <c r="BG85" s="383">
        <v>2023</v>
      </c>
      <c r="BH85" s="383">
        <v>1</v>
      </c>
      <c r="BI85" s="383">
        <v>19</v>
      </c>
      <c r="BK85" s="147" t="str">
        <f>IF(R85=SUM(Z85,AH85,AP85,AX85,BF85),"○","×")</f>
        <v>○</v>
      </c>
    </row>
    <row r="86" spans="1:63" x14ac:dyDescent="0.2">
      <c r="A86" s="428">
        <v>1103</v>
      </c>
      <c r="B86" s="429"/>
      <c r="C86" s="430"/>
      <c r="D86" s="429"/>
      <c r="E86" s="430"/>
      <c r="F86" s="429"/>
      <c r="G86" s="429"/>
      <c r="H86" s="430"/>
      <c r="I86" s="429"/>
      <c r="J86" s="429"/>
      <c r="K86" s="429"/>
      <c r="L86" s="383"/>
      <c r="M86" s="383" t="s">
        <v>482</v>
      </c>
      <c r="N86" s="383" t="s">
        <v>483</v>
      </c>
      <c r="O86" s="383" t="s">
        <v>484</v>
      </c>
      <c r="P86" s="383" t="s">
        <v>970</v>
      </c>
      <c r="Q86" s="383"/>
      <c r="R86" s="431">
        <v>673000</v>
      </c>
      <c r="S86" s="158">
        <v>0</v>
      </c>
      <c r="T86" s="158">
        <v>0</v>
      </c>
      <c r="U86" s="158">
        <v>0</v>
      </c>
      <c r="V86" s="158">
        <v>0</v>
      </c>
      <c r="W86" s="158">
        <v>0</v>
      </c>
      <c r="X86" s="158">
        <v>0</v>
      </c>
      <c r="Y86" s="158">
        <v>0</v>
      </c>
      <c r="Z86" s="158">
        <v>0</v>
      </c>
      <c r="AA86" s="432">
        <v>0</v>
      </c>
      <c r="AB86" s="432">
        <v>0</v>
      </c>
      <c r="AC86" s="432">
        <v>0</v>
      </c>
      <c r="AD86" s="432">
        <v>0</v>
      </c>
      <c r="AE86" s="432">
        <v>0</v>
      </c>
      <c r="AF86" s="432">
        <v>0</v>
      </c>
      <c r="AG86" s="432">
        <v>0</v>
      </c>
      <c r="AH86" s="432">
        <v>0</v>
      </c>
      <c r="AI86" s="158">
        <v>673200</v>
      </c>
      <c r="AJ86" s="158">
        <v>0</v>
      </c>
      <c r="AK86" s="158">
        <v>673200</v>
      </c>
      <c r="AL86" s="158">
        <v>673200</v>
      </c>
      <c r="AM86" s="158">
        <v>8517600</v>
      </c>
      <c r="AN86" s="158">
        <v>673200</v>
      </c>
      <c r="AO86" s="158">
        <v>673200</v>
      </c>
      <c r="AP86" s="158">
        <v>673000</v>
      </c>
      <c r="AQ86" s="432">
        <v>0</v>
      </c>
      <c r="AR86" s="432">
        <v>0</v>
      </c>
      <c r="AS86" s="432">
        <v>0</v>
      </c>
      <c r="AT86" s="432">
        <v>0</v>
      </c>
      <c r="AU86" s="432">
        <v>0</v>
      </c>
      <c r="AV86" s="432">
        <v>0</v>
      </c>
      <c r="AW86" s="432">
        <v>0</v>
      </c>
      <c r="AX86" s="432">
        <v>0</v>
      </c>
      <c r="AY86" s="158">
        <v>0</v>
      </c>
      <c r="AZ86" s="158">
        <v>0</v>
      </c>
      <c r="BA86" s="158">
        <v>0</v>
      </c>
      <c r="BB86" s="158">
        <v>0</v>
      </c>
      <c r="BC86" s="158">
        <v>0</v>
      </c>
      <c r="BD86" s="158">
        <v>0</v>
      </c>
      <c r="BE86" s="158">
        <v>0</v>
      </c>
      <c r="BF86" s="160">
        <v>0</v>
      </c>
      <c r="BG86" s="383">
        <v>2023</v>
      </c>
      <c r="BH86" s="383">
        <v>3</v>
      </c>
      <c r="BI86" s="383">
        <v>9</v>
      </c>
      <c r="BK86" s="147" t="str">
        <f>IF(R86=SUM(Z86,AH86,AP86,AX86,BF86),"○","×")</f>
        <v>○</v>
      </c>
    </row>
    <row r="87" spans="1:63" x14ac:dyDescent="0.2">
      <c r="A87" s="428">
        <v>1104</v>
      </c>
      <c r="B87" s="429"/>
      <c r="C87" s="430"/>
      <c r="D87" s="429"/>
      <c r="E87" s="430"/>
      <c r="F87" s="429"/>
      <c r="G87" s="429"/>
      <c r="H87" s="430"/>
      <c r="I87" s="429"/>
      <c r="J87" s="429"/>
      <c r="K87" s="429"/>
      <c r="L87" s="383"/>
      <c r="M87" s="383" t="s">
        <v>485</v>
      </c>
      <c r="N87" s="383" t="s">
        <v>483</v>
      </c>
      <c r="O87" s="383" t="s">
        <v>486</v>
      </c>
      <c r="P87" s="383" t="s">
        <v>970</v>
      </c>
      <c r="Q87" s="383"/>
      <c r="R87" s="431">
        <v>436000</v>
      </c>
      <c r="S87" s="158">
        <v>0</v>
      </c>
      <c r="T87" s="158">
        <v>0</v>
      </c>
      <c r="U87" s="158">
        <v>0</v>
      </c>
      <c r="V87" s="158">
        <v>0</v>
      </c>
      <c r="W87" s="158">
        <v>0</v>
      </c>
      <c r="X87" s="158">
        <v>0</v>
      </c>
      <c r="Y87" s="158">
        <v>0</v>
      </c>
      <c r="Z87" s="158">
        <v>0</v>
      </c>
      <c r="AA87" s="432">
        <v>164780</v>
      </c>
      <c r="AB87" s="432">
        <v>0</v>
      </c>
      <c r="AC87" s="432">
        <v>164780</v>
      </c>
      <c r="AD87" s="432">
        <v>164780</v>
      </c>
      <c r="AE87" s="432">
        <v>205000</v>
      </c>
      <c r="AF87" s="432">
        <v>164780</v>
      </c>
      <c r="AG87" s="432">
        <v>164780</v>
      </c>
      <c r="AH87" s="432">
        <v>164000</v>
      </c>
      <c r="AI87" s="158">
        <v>272250</v>
      </c>
      <c r="AJ87" s="158">
        <v>0</v>
      </c>
      <c r="AK87" s="158">
        <v>272250</v>
      </c>
      <c r="AL87" s="158">
        <v>272250</v>
      </c>
      <c r="AM87" s="158">
        <v>748800</v>
      </c>
      <c r="AN87" s="158">
        <v>272250</v>
      </c>
      <c r="AO87" s="158">
        <v>272250</v>
      </c>
      <c r="AP87" s="158">
        <v>272000</v>
      </c>
      <c r="AQ87" s="432">
        <v>0</v>
      </c>
      <c r="AR87" s="432">
        <v>0</v>
      </c>
      <c r="AS87" s="432">
        <v>0</v>
      </c>
      <c r="AT87" s="432">
        <v>0</v>
      </c>
      <c r="AU87" s="432">
        <v>0</v>
      </c>
      <c r="AV87" s="432">
        <v>0</v>
      </c>
      <c r="AW87" s="432">
        <v>0</v>
      </c>
      <c r="AX87" s="432">
        <v>0</v>
      </c>
      <c r="AY87" s="158">
        <v>0</v>
      </c>
      <c r="AZ87" s="158">
        <v>0</v>
      </c>
      <c r="BA87" s="158">
        <v>0</v>
      </c>
      <c r="BB87" s="158">
        <v>0</v>
      </c>
      <c r="BC87" s="158">
        <v>0</v>
      </c>
      <c r="BD87" s="158">
        <v>0</v>
      </c>
      <c r="BE87" s="158">
        <v>0</v>
      </c>
      <c r="BF87" s="160">
        <v>0</v>
      </c>
      <c r="BG87" s="383">
        <v>2023</v>
      </c>
      <c r="BH87" s="383">
        <v>3</v>
      </c>
      <c r="BI87" s="383">
        <v>9</v>
      </c>
      <c r="BK87" s="147" t="str">
        <f>IF(R87=SUM(Z87,AH87,AP87,AX87,BF87),"○","×")</f>
        <v>○</v>
      </c>
    </row>
    <row r="88" spans="1:63" x14ac:dyDescent="0.2">
      <c r="A88" s="428">
        <v>1105</v>
      </c>
      <c r="B88" s="429"/>
      <c r="C88" s="430"/>
      <c r="D88" s="429"/>
      <c r="E88" s="430"/>
      <c r="F88" s="429"/>
      <c r="G88" s="429"/>
      <c r="H88" s="430"/>
      <c r="I88" s="429"/>
      <c r="J88" s="429"/>
      <c r="K88" s="429"/>
      <c r="L88" s="383"/>
      <c r="M88" s="383" t="s">
        <v>337</v>
      </c>
      <c r="N88" s="383" t="s">
        <v>323</v>
      </c>
      <c r="O88" s="383" t="s">
        <v>338</v>
      </c>
      <c r="P88" s="383" t="s">
        <v>970</v>
      </c>
      <c r="Q88" s="383"/>
      <c r="R88" s="431">
        <v>392000</v>
      </c>
      <c r="S88" s="158">
        <v>0</v>
      </c>
      <c r="T88" s="158">
        <v>0</v>
      </c>
      <c r="U88" s="158">
        <v>0</v>
      </c>
      <c r="V88" s="158">
        <v>0</v>
      </c>
      <c r="W88" s="158">
        <v>0</v>
      </c>
      <c r="X88" s="158">
        <v>0</v>
      </c>
      <c r="Y88" s="158">
        <v>0</v>
      </c>
      <c r="Z88" s="158">
        <v>0</v>
      </c>
      <c r="AA88" s="432">
        <v>0</v>
      </c>
      <c r="AB88" s="432">
        <v>0</v>
      </c>
      <c r="AC88" s="432">
        <v>0</v>
      </c>
      <c r="AD88" s="432">
        <v>0</v>
      </c>
      <c r="AE88" s="432">
        <v>0</v>
      </c>
      <c r="AF88" s="432">
        <v>0</v>
      </c>
      <c r="AG88" s="432">
        <v>0</v>
      </c>
      <c r="AH88" s="432">
        <v>0</v>
      </c>
      <c r="AI88" s="158">
        <v>164951</v>
      </c>
      <c r="AJ88" s="158">
        <v>0</v>
      </c>
      <c r="AK88" s="158">
        <v>164951</v>
      </c>
      <c r="AL88" s="158">
        <v>164951</v>
      </c>
      <c r="AM88" s="158">
        <v>1771200</v>
      </c>
      <c r="AN88" s="158">
        <v>164951</v>
      </c>
      <c r="AO88" s="158">
        <v>164951</v>
      </c>
      <c r="AP88" s="158">
        <v>164000</v>
      </c>
      <c r="AQ88" s="432">
        <v>0</v>
      </c>
      <c r="AR88" s="432">
        <v>0</v>
      </c>
      <c r="AS88" s="432">
        <v>0</v>
      </c>
      <c r="AT88" s="432">
        <v>0</v>
      </c>
      <c r="AU88" s="432">
        <v>0</v>
      </c>
      <c r="AV88" s="432">
        <v>0</v>
      </c>
      <c r="AW88" s="432">
        <v>0</v>
      </c>
      <c r="AX88" s="432">
        <v>0</v>
      </c>
      <c r="AY88" s="158">
        <v>228800</v>
      </c>
      <c r="AZ88" s="158">
        <v>0</v>
      </c>
      <c r="BA88" s="158">
        <v>228800</v>
      </c>
      <c r="BB88" s="158">
        <v>228800</v>
      </c>
      <c r="BC88" s="158">
        <v>228800</v>
      </c>
      <c r="BD88" s="158">
        <v>228800</v>
      </c>
      <c r="BE88" s="158">
        <v>228800</v>
      </c>
      <c r="BF88" s="160">
        <v>228000</v>
      </c>
      <c r="BG88" s="383">
        <v>2023</v>
      </c>
      <c r="BH88" s="383">
        <v>3</v>
      </c>
      <c r="BI88" s="383">
        <v>9</v>
      </c>
      <c r="BK88" s="147" t="str">
        <f>IF(R88=SUM(Z88,AH88,AP88,AX88,BF88),"○","×")</f>
        <v>○</v>
      </c>
    </row>
    <row r="89" spans="1:63" x14ac:dyDescent="0.2">
      <c r="A89" s="428">
        <v>1106</v>
      </c>
      <c r="B89" s="429"/>
      <c r="C89" s="430"/>
      <c r="D89" s="429"/>
      <c r="E89" s="430"/>
      <c r="F89" s="429"/>
      <c r="G89" s="429"/>
      <c r="H89" s="430"/>
      <c r="I89" s="429"/>
      <c r="J89" s="429"/>
      <c r="K89" s="429"/>
      <c r="L89" s="383"/>
      <c r="M89" s="383" t="s">
        <v>487</v>
      </c>
      <c r="N89" s="383" t="s">
        <v>372</v>
      </c>
      <c r="O89" s="383" t="s">
        <v>333</v>
      </c>
      <c r="P89" s="383" t="s">
        <v>970</v>
      </c>
      <c r="Q89" s="383"/>
      <c r="R89" s="431">
        <v>3985000</v>
      </c>
      <c r="S89" s="158">
        <v>935000</v>
      </c>
      <c r="T89" s="158">
        <v>0</v>
      </c>
      <c r="U89" s="158">
        <v>935000</v>
      </c>
      <c r="V89" s="158">
        <v>935000</v>
      </c>
      <c r="W89" s="158">
        <v>905000</v>
      </c>
      <c r="X89" s="158">
        <v>935000</v>
      </c>
      <c r="Y89" s="158">
        <v>935000</v>
      </c>
      <c r="Z89" s="158">
        <v>905000</v>
      </c>
      <c r="AA89" s="432">
        <v>3080000</v>
      </c>
      <c r="AB89" s="432">
        <v>0</v>
      </c>
      <c r="AC89" s="432">
        <v>3080000</v>
      </c>
      <c r="AD89" s="432">
        <v>3080000</v>
      </c>
      <c r="AE89" s="432">
        <v>3280000</v>
      </c>
      <c r="AF89" s="432">
        <v>3080000</v>
      </c>
      <c r="AG89" s="432">
        <v>3080000</v>
      </c>
      <c r="AH89" s="432">
        <v>3080000</v>
      </c>
      <c r="AI89" s="158">
        <v>0</v>
      </c>
      <c r="AJ89" s="158">
        <v>0</v>
      </c>
      <c r="AK89" s="158">
        <v>0</v>
      </c>
      <c r="AL89" s="158">
        <v>0</v>
      </c>
      <c r="AM89" s="158">
        <v>0</v>
      </c>
      <c r="AN89" s="158">
        <v>0</v>
      </c>
      <c r="AO89" s="158">
        <v>0</v>
      </c>
      <c r="AP89" s="158">
        <v>0</v>
      </c>
      <c r="AQ89" s="432">
        <v>0</v>
      </c>
      <c r="AR89" s="432">
        <v>0</v>
      </c>
      <c r="AS89" s="432">
        <v>0</v>
      </c>
      <c r="AT89" s="432">
        <v>0</v>
      </c>
      <c r="AU89" s="432">
        <v>0</v>
      </c>
      <c r="AV89" s="432">
        <v>0</v>
      </c>
      <c r="AW89" s="432">
        <v>0</v>
      </c>
      <c r="AX89" s="432">
        <v>0</v>
      </c>
      <c r="AY89" s="158">
        <v>0</v>
      </c>
      <c r="AZ89" s="158">
        <v>0</v>
      </c>
      <c r="BA89" s="158">
        <v>0</v>
      </c>
      <c r="BB89" s="158">
        <v>0</v>
      </c>
      <c r="BC89" s="158">
        <v>0</v>
      </c>
      <c r="BD89" s="158">
        <v>0</v>
      </c>
      <c r="BE89" s="158">
        <v>0</v>
      </c>
      <c r="BF89" s="160">
        <v>0</v>
      </c>
      <c r="BG89" s="383">
        <v>2023</v>
      </c>
      <c r="BH89" s="383">
        <v>3</v>
      </c>
      <c r="BI89" s="383">
        <v>9</v>
      </c>
      <c r="BK89" s="147" t="str">
        <f>IF(R89=SUM(Z89,AH89,AP89,AX89,BF89),"○","×")</f>
        <v>○</v>
      </c>
    </row>
    <row r="90" spans="1:63" x14ac:dyDescent="0.2">
      <c r="A90" s="428">
        <v>1107</v>
      </c>
      <c r="B90" s="429"/>
      <c r="C90" s="430"/>
      <c r="D90" s="429"/>
      <c r="E90" s="430"/>
      <c r="F90" s="429"/>
      <c r="G90" s="429"/>
      <c r="H90" s="430"/>
      <c r="I90" s="429"/>
      <c r="J90" s="429"/>
      <c r="K90" s="429"/>
      <c r="L90" s="383"/>
      <c r="M90" s="383" t="s">
        <v>485</v>
      </c>
      <c r="N90" s="383" t="s">
        <v>483</v>
      </c>
      <c r="O90" s="383" t="s">
        <v>486</v>
      </c>
      <c r="P90" s="383" t="s">
        <v>970</v>
      </c>
      <c r="Q90" s="383"/>
      <c r="R90" s="431">
        <v>435000</v>
      </c>
      <c r="S90" s="158">
        <v>0</v>
      </c>
      <c r="T90" s="158">
        <v>0</v>
      </c>
      <c r="U90" s="158">
        <v>0</v>
      </c>
      <c r="V90" s="158">
        <v>0</v>
      </c>
      <c r="W90" s="158">
        <v>0</v>
      </c>
      <c r="X90" s="158">
        <v>0</v>
      </c>
      <c r="Y90" s="158">
        <v>0</v>
      </c>
      <c r="Z90" s="158">
        <v>0</v>
      </c>
      <c r="AA90" s="432">
        <v>164780</v>
      </c>
      <c r="AB90" s="432">
        <v>0</v>
      </c>
      <c r="AC90" s="432">
        <v>164780</v>
      </c>
      <c r="AD90" s="432">
        <v>164780</v>
      </c>
      <c r="AE90" s="432">
        <v>205000</v>
      </c>
      <c r="AF90" s="432">
        <v>164780</v>
      </c>
      <c r="AG90" s="432">
        <v>164780</v>
      </c>
      <c r="AH90" s="432">
        <v>164000</v>
      </c>
      <c r="AI90" s="158">
        <v>271122</v>
      </c>
      <c r="AJ90" s="158">
        <v>0</v>
      </c>
      <c r="AK90" s="158">
        <v>271122</v>
      </c>
      <c r="AL90" s="158">
        <v>271122</v>
      </c>
      <c r="AM90" s="158">
        <v>748800</v>
      </c>
      <c r="AN90" s="158">
        <v>271122</v>
      </c>
      <c r="AO90" s="158">
        <v>271122</v>
      </c>
      <c r="AP90" s="158">
        <v>271000</v>
      </c>
      <c r="AQ90" s="432">
        <v>0</v>
      </c>
      <c r="AR90" s="432">
        <v>0</v>
      </c>
      <c r="AS90" s="432">
        <v>0</v>
      </c>
      <c r="AT90" s="432">
        <v>0</v>
      </c>
      <c r="AU90" s="432">
        <v>0</v>
      </c>
      <c r="AV90" s="432">
        <v>0</v>
      </c>
      <c r="AW90" s="432">
        <v>0</v>
      </c>
      <c r="AX90" s="432">
        <v>0</v>
      </c>
      <c r="AY90" s="158">
        <v>0</v>
      </c>
      <c r="AZ90" s="158">
        <v>0</v>
      </c>
      <c r="BA90" s="158">
        <v>0</v>
      </c>
      <c r="BB90" s="158">
        <v>0</v>
      </c>
      <c r="BC90" s="158">
        <v>0</v>
      </c>
      <c r="BD90" s="158">
        <v>0</v>
      </c>
      <c r="BE90" s="158">
        <v>0</v>
      </c>
      <c r="BF90" s="160">
        <v>0</v>
      </c>
      <c r="BG90" s="383">
        <v>2023</v>
      </c>
      <c r="BH90" s="383">
        <v>3</v>
      </c>
      <c r="BI90" s="383">
        <v>9</v>
      </c>
      <c r="BK90" s="147" t="str">
        <f>IF(R90=SUM(Z90,AH90,AP90,AX90,BF90),"○","×")</f>
        <v>○</v>
      </c>
    </row>
    <row r="91" spans="1:63" x14ac:dyDescent="0.2">
      <c r="A91" s="428">
        <v>1108</v>
      </c>
      <c r="B91" s="429"/>
      <c r="C91" s="430"/>
      <c r="D91" s="429"/>
      <c r="E91" s="430"/>
      <c r="F91" s="429"/>
      <c r="G91" s="429"/>
      <c r="H91" s="430"/>
      <c r="I91" s="429"/>
      <c r="J91" s="429"/>
      <c r="K91" s="429"/>
      <c r="L91" s="383"/>
      <c r="M91" s="383" t="s">
        <v>488</v>
      </c>
      <c r="N91" s="383" t="s">
        <v>340</v>
      </c>
      <c r="O91" s="383" t="s">
        <v>489</v>
      </c>
      <c r="P91" s="383" t="s">
        <v>970</v>
      </c>
      <c r="Q91" s="383"/>
      <c r="R91" s="431">
        <v>228000</v>
      </c>
      <c r="S91" s="158">
        <v>0</v>
      </c>
      <c r="T91" s="158">
        <v>0</v>
      </c>
      <c r="U91" s="158">
        <v>0</v>
      </c>
      <c r="V91" s="158">
        <v>0</v>
      </c>
      <c r="W91" s="158">
        <v>0</v>
      </c>
      <c r="X91" s="158">
        <v>0</v>
      </c>
      <c r="Y91" s="158">
        <v>0</v>
      </c>
      <c r="Z91" s="158">
        <v>0</v>
      </c>
      <c r="AA91" s="432">
        <v>0</v>
      </c>
      <c r="AB91" s="432">
        <v>0</v>
      </c>
      <c r="AC91" s="432">
        <v>0</v>
      </c>
      <c r="AD91" s="432">
        <v>0</v>
      </c>
      <c r="AE91" s="432">
        <v>0</v>
      </c>
      <c r="AF91" s="432">
        <v>0</v>
      </c>
      <c r="AG91" s="432">
        <v>0</v>
      </c>
      <c r="AH91" s="432">
        <v>0</v>
      </c>
      <c r="AI91" s="158">
        <v>193540</v>
      </c>
      <c r="AJ91" s="158">
        <v>0</v>
      </c>
      <c r="AK91" s="158">
        <v>193540</v>
      </c>
      <c r="AL91" s="158">
        <v>193540</v>
      </c>
      <c r="AM91" s="158">
        <v>4233600</v>
      </c>
      <c r="AN91" s="158">
        <v>193540</v>
      </c>
      <c r="AO91" s="158">
        <v>193540</v>
      </c>
      <c r="AP91" s="158">
        <v>193000</v>
      </c>
      <c r="AQ91" s="432">
        <v>35200</v>
      </c>
      <c r="AR91" s="432">
        <v>0</v>
      </c>
      <c r="AS91" s="432">
        <v>35200</v>
      </c>
      <c r="AT91" s="432">
        <v>35200</v>
      </c>
      <c r="AU91" s="432">
        <v>51400</v>
      </c>
      <c r="AV91" s="432">
        <v>35200</v>
      </c>
      <c r="AW91" s="432">
        <v>35200</v>
      </c>
      <c r="AX91" s="432">
        <v>35000</v>
      </c>
      <c r="AY91" s="158">
        <v>0</v>
      </c>
      <c r="AZ91" s="158">
        <v>0</v>
      </c>
      <c r="BA91" s="158">
        <v>0</v>
      </c>
      <c r="BB91" s="158">
        <v>0</v>
      </c>
      <c r="BC91" s="158">
        <v>0</v>
      </c>
      <c r="BD91" s="158">
        <v>0</v>
      </c>
      <c r="BE91" s="158">
        <v>0</v>
      </c>
      <c r="BF91" s="160">
        <v>0</v>
      </c>
      <c r="BG91" s="383">
        <v>2023</v>
      </c>
      <c r="BH91" s="383">
        <v>3</v>
      </c>
      <c r="BI91" s="383">
        <v>9</v>
      </c>
      <c r="BK91" s="147" t="str">
        <f>IF(R91=SUM(Z91,AH91,AP91,AX91,BF91),"○","×")</f>
        <v>○</v>
      </c>
    </row>
    <row r="92" spans="1:63" x14ac:dyDescent="0.2">
      <c r="A92" s="428">
        <v>1109</v>
      </c>
      <c r="B92" s="429"/>
      <c r="C92" s="430"/>
      <c r="D92" s="429"/>
      <c r="E92" s="430"/>
      <c r="F92" s="429"/>
      <c r="G92" s="429"/>
      <c r="H92" s="430"/>
      <c r="I92" s="429"/>
      <c r="J92" s="429"/>
      <c r="K92" s="429"/>
      <c r="L92" s="383"/>
      <c r="M92" s="383" t="s">
        <v>490</v>
      </c>
      <c r="N92" s="383" t="s">
        <v>332</v>
      </c>
      <c r="O92" s="383" t="s">
        <v>491</v>
      </c>
      <c r="P92" s="383" t="s">
        <v>970</v>
      </c>
      <c r="Q92" s="383"/>
      <c r="R92" s="431">
        <v>1040000</v>
      </c>
      <c r="S92" s="158">
        <v>0</v>
      </c>
      <c r="T92" s="158">
        <v>0</v>
      </c>
      <c r="U92" s="158">
        <v>0</v>
      </c>
      <c r="V92" s="158">
        <v>0</v>
      </c>
      <c r="W92" s="158">
        <v>0</v>
      </c>
      <c r="X92" s="158">
        <v>0</v>
      </c>
      <c r="Y92" s="158">
        <v>0</v>
      </c>
      <c r="Z92" s="158">
        <v>0</v>
      </c>
      <c r="AA92" s="432">
        <v>0</v>
      </c>
      <c r="AB92" s="432">
        <v>0</v>
      </c>
      <c r="AC92" s="432">
        <v>0</v>
      </c>
      <c r="AD92" s="432">
        <v>0</v>
      </c>
      <c r="AE92" s="432">
        <v>0</v>
      </c>
      <c r="AF92" s="432">
        <v>0</v>
      </c>
      <c r="AG92" s="432">
        <v>0</v>
      </c>
      <c r="AH92" s="432">
        <v>0</v>
      </c>
      <c r="AI92" s="158">
        <v>882420</v>
      </c>
      <c r="AJ92" s="158">
        <v>0</v>
      </c>
      <c r="AK92" s="158">
        <v>882420</v>
      </c>
      <c r="AL92" s="158">
        <v>882420</v>
      </c>
      <c r="AM92" s="158">
        <v>2656800</v>
      </c>
      <c r="AN92" s="158">
        <v>882420</v>
      </c>
      <c r="AO92" s="158">
        <v>882420</v>
      </c>
      <c r="AP92" s="158">
        <v>882000</v>
      </c>
      <c r="AQ92" s="432">
        <v>0</v>
      </c>
      <c r="AR92" s="432">
        <v>0</v>
      </c>
      <c r="AS92" s="432">
        <v>0</v>
      </c>
      <c r="AT92" s="432">
        <v>0</v>
      </c>
      <c r="AU92" s="432">
        <v>0</v>
      </c>
      <c r="AV92" s="432">
        <v>0</v>
      </c>
      <c r="AW92" s="432">
        <v>0</v>
      </c>
      <c r="AX92" s="432">
        <v>0</v>
      </c>
      <c r="AY92" s="158">
        <v>158400</v>
      </c>
      <c r="AZ92" s="158">
        <v>0</v>
      </c>
      <c r="BA92" s="158">
        <v>158400</v>
      </c>
      <c r="BB92" s="158">
        <v>158400</v>
      </c>
      <c r="BC92" s="158">
        <v>158400</v>
      </c>
      <c r="BD92" s="158">
        <v>158400</v>
      </c>
      <c r="BE92" s="158">
        <v>158400</v>
      </c>
      <c r="BF92" s="160">
        <v>158000</v>
      </c>
      <c r="BG92" s="383">
        <v>2023</v>
      </c>
      <c r="BH92" s="383">
        <v>3</v>
      </c>
      <c r="BI92" s="383">
        <v>9</v>
      </c>
      <c r="BK92" s="147" t="str">
        <f>IF(R92=SUM(Z92,AH92,AP92,AX92,BF92),"○","×")</f>
        <v>○</v>
      </c>
    </row>
    <row r="93" spans="1:63" x14ac:dyDescent="0.2">
      <c r="A93" s="428">
        <v>1110</v>
      </c>
      <c r="B93" s="429"/>
      <c r="C93" s="430"/>
      <c r="D93" s="429"/>
      <c r="E93" s="430"/>
      <c r="F93" s="429"/>
      <c r="G93" s="429"/>
      <c r="H93" s="430"/>
      <c r="I93" s="429"/>
      <c r="J93" s="429"/>
      <c r="K93" s="429"/>
      <c r="L93" s="383"/>
      <c r="M93" s="383" t="s">
        <v>492</v>
      </c>
      <c r="N93" s="383" t="s">
        <v>493</v>
      </c>
      <c r="O93" s="383" t="s">
        <v>494</v>
      </c>
      <c r="P93" s="383" t="s">
        <v>970</v>
      </c>
      <c r="Q93" s="383"/>
      <c r="R93" s="431">
        <v>1178000</v>
      </c>
      <c r="S93" s="158">
        <v>0</v>
      </c>
      <c r="T93" s="158">
        <v>0</v>
      </c>
      <c r="U93" s="158">
        <v>0</v>
      </c>
      <c r="V93" s="158">
        <v>0</v>
      </c>
      <c r="W93" s="158">
        <v>0</v>
      </c>
      <c r="X93" s="158">
        <v>0</v>
      </c>
      <c r="Y93" s="158">
        <v>0</v>
      </c>
      <c r="Z93" s="158">
        <v>0</v>
      </c>
      <c r="AA93" s="432">
        <v>0</v>
      </c>
      <c r="AB93" s="432">
        <v>0</v>
      </c>
      <c r="AC93" s="432">
        <v>0</v>
      </c>
      <c r="AD93" s="432">
        <v>0</v>
      </c>
      <c r="AE93" s="432">
        <v>0</v>
      </c>
      <c r="AF93" s="432">
        <v>0</v>
      </c>
      <c r="AG93" s="432">
        <v>0</v>
      </c>
      <c r="AH93" s="432">
        <v>0</v>
      </c>
      <c r="AI93" s="158">
        <v>1086940</v>
      </c>
      <c r="AJ93" s="158">
        <v>0</v>
      </c>
      <c r="AK93" s="158">
        <v>1086940</v>
      </c>
      <c r="AL93" s="158">
        <v>1086940</v>
      </c>
      <c r="AM93" s="158">
        <v>1728000</v>
      </c>
      <c r="AN93" s="158">
        <v>1086940</v>
      </c>
      <c r="AO93" s="158">
        <v>1086940</v>
      </c>
      <c r="AP93" s="158">
        <v>1086000</v>
      </c>
      <c r="AQ93" s="432">
        <v>0</v>
      </c>
      <c r="AR93" s="432">
        <v>0</v>
      </c>
      <c r="AS93" s="432">
        <v>0</v>
      </c>
      <c r="AT93" s="432">
        <v>0</v>
      </c>
      <c r="AU93" s="432">
        <v>0</v>
      </c>
      <c r="AV93" s="432">
        <v>0</v>
      </c>
      <c r="AW93" s="432">
        <v>0</v>
      </c>
      <c r="AX93" s="432">
        <v>0</v>
      </c>
      <c r="AY93" s="158">
        <v>92400</v>
      </c>
      <c r="AZ93" s="158">
        <v>0</v>
      </c>
      <c r="BA93" s="158">
        <v>92400</v>
      </c>
      <c r="BB93" s="158">
        <v>92400</v>
      </c>
      <c r="BC93" s="158">
        <v>92400</v>
      </c>
      <c r="BD93" s="158">
        <v>92400</v>
      </c>
      <c r="BE93" s="158">
        <v>92400</v>
      </c>
      <c r="BF93" s="160">
        <v>92000</v>
      </c>
      <c r="BG93" s="383">
        <v>2023</v>
      </c>
      <c r="BH93" s="383">
        <v>3</v>
      </c>
      <c r="BI93" s="383">
        <v>9</v>
      </c>
      <c r="BK93" s="147" t="str">
        <f>IF(R93=SUM(Z93,AH93,AP93,AX93,BF93),"○","×")</f>
        <v>○</v>
      </c>
    </row>
    <row r="94" spans="1:63" x14ac:dyDescent="0.2">
      <c r="A94" s="428">
        <v>1112</v>
      </c>
      <c r="B94" s="429"/>
      <c r="C94" s="430"/>
      <c r="D94" s="429"/>
      <c r="E94" s="430"/>
      <c r="F94" s="429"/>
      <c r="G94" s="429"/>
      <c r="H94" s="430"/>
      <c r="I94" s="429"/>
      <c r="J94" s="429"/>
      <c r="K94" s="429"/>
      <c r="L94" s="383"/>
      <c r="M94" s="383" t="s">
        <v>495</v>
      </c>
      <c r="N94" s="383" t="s">
        <v>323</v>
      </c>
      <c r="O94" s="383" t="s">
        <v>466</v>
      </c>
      <c r="P94" s="383" t="s">
        <v>970</v>
      </c>
      <c r="Q94" s="383"/>
      <c r="R94" s="431">
        <v>999000</v>
      </c>
      <c r="S94" s="158">
        <v>1383800</v>
      </c>
      <c r="T94" s="158">
        <v>0</v>
      </c>
      <c r="U94" s="158">
        <v>1383800</v>
      </c>
      <c r="V94" s="158">
        <v>1383800</v>
      </c>
      <c r="W94" s="158">
        <v>905000</v>
      </c>
      <c r="X94" s="158">
        <v>905000</v>
      </c>
      <c r="Y94" s="158">
        <v>905000</v>
      </c>
      <c r="Z94" s="158">
        <v>905000</v>
      </c>
      <c r="AA94" s="432">
        <v>0</v>
      </c>
      <c r="AB94" s="432">
        <v>0</v>
      </c>
      <c r="AC94" s="432">
        <v>0</v>
      </c>
      <c r="AD94" s="432">
        <v>0</v>
      </c>
      <c r="AE94" s="432">
        <v>0</v>
      </c>
      <c r="AF94" s="432">
        <v>0</v>
      </c>
      <c r="AG94" s="432">
        <v>0</v>
      </c>
      <c r="AH94" s="432">
        <v>0</v>
      </c>
      <c r="AI94" s="158">
        <v>94206</v>
      </c>
      <c r="AJ94" s="158">
        <v>0</v>
      </c>
      <c r="AK94" s="158">
        <v>94206</v>
      </c>
      <c r="AL94" s="158">
        <v>94206</v>
      </c>
      <c r="AM94" s="158">
        <v>1382400</v>
      </c>
      <c r="AN94" s="158">
        <v>94206</v>
      </c>
      <c r="AO94" s="158">
        <v>94000</v>
      </c>
      <c r="AP94" s="158">
        <v>94000</v>
      </c>
      <c r="AQ94" s="432">
        <v>0</v>
      </c>
      <c r="AR94" s="432">
        <v>0</v>
      </c>
      <c r="AS94" s="432">
        <v>0</v>
      </c>
      <c r="AT94" s="432">
        <v>0</v>
      </c>
      <c r="AU94" s="432">
        <v>0</v>
      </c>
      <c r="AV94" s="432">
        <v>0</v>
      </c>
      <c r="AW94" s="432">
        <v>0</v>
      </c>
      <c r="AX94" s="432">
        <v>0</v>
      </c>
      <c r="AY94" s="158">
        <v>0</v>
      </c>
      <c r="AZ94" s="158">
        <v>0</v>
      </c>
      <c r="BA94" s="158">
        <v>0</v>
      </c>
      <c r="BB94" s="158">
        <v>0</v>
      </c>
      <c r="BC94" s="158">
        <v>0</v>
      </c>
      <c r="BD94" s="158">
        <v>0</v>
      </c>
      <c r="BE94" s="158">
        <v>0</v>
      </c>
      <c r="BF94" s="160">
        <v>0</v>
      </c>
      <c r="BG94" s="383">
        <v>2023</v>
      </c>
      <c r="BH94" s="383">
        <v>3</v>
      </c>
      <c r="BI94" s="383">
        <v>9</v>
      </c>
      <c r="BK94" s="147" t="str">
        <f>IF(R94=SUM(Z94,AH94,AP94,AX94,BF94),"○","×")</f>
        <v>○</v>
      </c>
    </row>
    <row r="95" spans="1:63" x14ac:dyDescent="0.2">
      <c r="A95" s="428">
        <v>1114</v>
      </c>
      <c r="B95" s="429"/>
      <c r="C95" s="430"/>
      <c r="D95" s="429"/>
      <c r="E95" s="430"/>
      <c r="F95" s="429"/>
      <c r="G95" s="429"/>
      <c r="H95" s="430"/>
      <c r="I95" s="429"/>
      <c r="J95" s="429"/>
      <c r="K95" s="429"/>
      <c r="L95" s="383"/>
      <c r="M95" s="383" t="s">
        <v>497</v>
      </c>
      <c r="N95" s="383" t="s">
        <v>323</v>
      </c>
      <c r="O95" s="383" t="s">
        <v>498</v>
      </c>
      <c r="P95" s="383" t="s">
        <v>970</v>
      </c>
      <c r="Q95" s="383"/>
      <c r="R95" s="431">
        <v>515000</v>
      </c>
      <c r="S95" s="158">
        <v>0</v>
      </c>
      <c r="T95" s="158">
        <v>0</v>
      </c>
      <c r="U95" s="158">
        <v>0</v>
      </c>
      <c r="V95" s="158">
        <v>0</v>
      </c>
      <c r="W95" s="158">
        <v>0</v>
      </c>
      <c r="X95" s="158">
        <v>0</v>
      </c>
      <c r="Y95" s="158">
        <v>0</v>
      </c>
      <c r="Z95" s="158">
        <v>0</v>
      </c>
      <c r="AA95" s="432">
        <v>0</v>
      </c>
      <c r="AB95" s="432">
        <v>0</v>
      </c>
      <c r="AC95" s="432">
        <v>0</v>
      </c>
      <c r="AD95" s="432">
        <v>0</v>
      </c>
      <c r="AE95" s="432">
        <v>0</v>
      </c>
      <c r="AF95" s="432">
        <v>0</v>
      </c>
      <c r="AG95" s="432">
        <v>0</v>
      </c>
      <c r="AH95" s="432">
        <v>0</v>
      </c>
      <c r="AI95" s="158">
        <v>479008</v>
      </c>
      <c r="AJ95" s="158">
        <v>0</v>
      </c>
      <c r="AK95" s="158">
        <v>479008</v>
      </c>
      <c r="AL95" s="158">
        <v>479008</v>
      </c>
      <c r="AM95" s="158">
        <v>3600000</v>
      </c>
      <c r="AN95" s="158">
        <v>479008</v>
      </c>
      <c r="AO95" s="158">
        <v>479008</v>
      </c>
      <c r="AP95" s="158">
        <v>479000</v>
      </c>
      <c r="AQ95" s="432">
        <v>36300</v>
      </c>
      <c r="AR95" s="432">
        <v>0</v>
      </c>
      <c r="AS95" s="432">
        <v>36300</v>
      </c>
      <c r="AT95" s="432">
        <v>36300</v>
      </c>
      <c r="AU95" s="432">
        <v>51400</v>
      </c>
      <c r="AV95" s="432">
        <v>36300</v>
      </c>
      <c r="AW95" s="432">
        <v>36300</v>
      </c>
      <c r="AX95" s="432">
        <v>36000</v>
      </c>
      <c r="AY95" s="158">
        <v>0</v>
      </c>
      <c r="AZ95" s="158">
        <v>0</v>
      </c>
      <c r="BA95" s="158">
        <v>0</v>
      </c>
      <c r="BB95" s="158">
        <v>0</v>
      </c>
      <c r="BC95" s="158">
        <v>0</v>
      </c>
      <c r="BD95" s="158">
        <v>0</v>
      </c>
      <c r="BE95" s="158">
        <v>0</v>
      </c>
      <c r="BF95" s="160">
        <v>0</v>
      </c>
      <c r="BG95" s="383">
        <v>2023</v>
      </c>
      <c r="BH95" s="383">
        <v>3</v>
      </c>
      <c r="BI95" s="383">
        <v>9</v>
      </c>
      <c r="BK95" s="147" t="str">
        <f>IF(R95=SUM(Z95,AH95,AP95,AX95,BF95),"○","×")</f>
        <v>○</v>
      </c>
    </row>
    <row r="96" spans="1:63" x14ac:dyDescent="0.2">
      <c r="A96" s="428">
        <v>1115</v>
      </c>
      <c r="B96" s="429"/>
      <c r="C96" s="430"/>
      <c r="D96" s="429"/>
      <c r="E96" s="430"/>
      <c r="F96" s="429"/>
      <c r="G96" s="429"/>
      <c r="H96" s="430"/>
      <c r="I96" s="429"/>
      <c r="J96" s="429"/>
      <c r="K96" s="429"/>
      <c r="L96" s="383"/>
      <c r="M96" s="383" t="s">
        <v>379</v>
      </c>
      <c r="N96" s="383" t="s">
        <v>323</v>
      </c>
      <c r="O96" s="383" t="s">
        <v>380</v>
      </c>
      <c r="P96" s="383" t="s">
        <v>970</v>
      </c>
      <c r="Q96" s="383"/>
      <c r="R96" s="431">
        <v>180000</v>
      </c>
      <c r="S96" s="158">
        <v>0</v>
      </c>
      <c r="T96" s="158">
        <v>0</v>
      </c>
      <c r="U96" s="158">
        <v>0</v>
      </c>
      <c r="V96" s="158">
        <v>0</v>
      </c>
      <c r="W96" s="158">
        <v>0</v>
      </c>
      <c r="X96" s="158">
        <v>0</v>
      </c>
      <c r="Y96" s="158">
        <v>0</v>
      </c>
      <c r="Z96" s="158">
        <v>0</v>
      </c>
      <c r="AA96" s="432">
        <v>0</v>
      </c>
      <c r="AB96" s="432">
        <v>0</v>
      </c>
      <c r="AC96" s="432">
        <v>0</v>
      </c>
      <c r="AD96" s="432">
        <v>0</v>
      </c>
      <c r="AE96" s="432">
        <v>0</v>
      </c>
      <c r="AF96" s="432">
        <v>0</v>
      </c>
      <c r="AG96" s="432">
        <v>0</v>
      </c>
      <c r="AH96" s="432">
        <v>0</v>
      </c>
      <c r="AI96" s="158">
        <v>0</v>
      </c>
      <c r="AJ96" s="158">
        <v>0</v>
      </c>
      <c r="AK96" s="158">
        <v>0</v>
      </c>
      <c r="AL96" s="158">
        <v>0</v>
      </c>
      <c r="AM96" s="158">
        <v>0</v>
      </c>
      <c r="AN96" s="158">
        <v>0</v>
      </c>
      <c r="AO96" s="158">
        <v>0</v>
      </c>
      <c r="AP96" s="158">
        <v>0</v>
      </c>
      <c r="AQ96" s="432">
        <v>0</v>
      </c>
      <c r="AR96" s="432">
        <v>0</v>
      </c>
      <c r="AS96" s="432">
        <v>0</v>
      </c>
      <c r="AT96" s="432">
        <v>0</v>
      </c>
      <c r="AU96" s="432">
        <v>0</v>
      </c>
      <c r="AV96" s="432">
        <v>0</v>
      </c>
      <c r="AW96" s="432">
        <v>0</v>
      </c>
      <c r="AX96" s="432">
        <v>0</v>
      </c>
      <c r="AY96" s="158">
        <v>180180</v>
      </c>
      <c r="AZ96" s="158">
        <v>0</v>
      </c>
      <c r="BA96" s="158">
        <v>180180</v>
      </c>
      <c r="BB96" s="158">
        <v>180180</v>
      </c>
      <c r="BC96" s="158">
        <v>180180</v>
      </c>
      <c r="BD96" s="158">
        <v>180180</v>
      </c>
      <c r="BE96" s="158">
        <v>180180</v>
      </c>
      <c r="BF96" s="160">
        <v>180000</v>
      </c>
      <c r="BG96" s="383">
        <v>2023</v>
      </c>
      <c r="BH96" s="383">
        <v>3</v>
      </c>
      <c r="BI96" s="383">
        <v>9</v>
      </c>
      <c r="BK96" s="147" t="str">
        <f>IF(R96=SUM(Z96,AH96,AP96,AX96,BF96),"○","×")</f>
        <v>○</v>
      </c>
    </row>
    <row r="97" spans="1:63" x14ac:dyDescent="0.2">
      <c r="A97" s="428">
        <v>1116</v>
      </c>
      <c r="B97" s="429"/>
      <c r="C97" s="430"/>
      <c r="D97" s="429"/>
      <c r="E97" s="430"/>
      <c r="F97" s="429"/>
      <c r="G97" s="429"/>
      <c r="H97" s="430"/>
      <c r="I97" s="429"/>
      <c r="J97" s="429"/>
      <c r="K97" s="429"/>
      <c r="L97" s="383"/>
      <c r="M97" s="383" t="s">
        <v>499</v>
      </c>
      <c r="N97" s="383" t="s">
        <v>323</v>
      </c>
      <c r="O97" s="383" t="s">
        <v>500</v>
      </c>
      <c r="P97" s="383" t="s">
        <v>970</v>
      </c>
      <c r="Q97" s="383"/>
      <c r="R97" s="431">
        <v>543000</v>
      </c>
      <c r="S97" s="158">
        <v>0</v>
      </c>
      <c r="T97" s="158">
        <v>0</v>
      </c>
      <c r="U97" s="158">
        <v>0</v>
      </c>
      <c r="V97" s="158">
        <v>0</v>
      </c>
      <c r="W97" s="158">
        <v>0</v>
      </c>
      <c r="X97" s="158">
        <v>0</v>
      </c>
      <c r="Y97" s="158">
        <v>0</v>
      </c>
      <c r="Z97" s="158">
        <v>0</v>
      </c>
      <c r="AA97" s="432">
        <v>448346</v>
      </c>
      <c r="AB97" s="432">
        <v>0</v>
      </c>
      <c r="AC97" s="432">
        <v>448346</v>
      </c>
      <c r="AD97" s="432">
        <v>448346</v>
      </c>
      <c r="AE97" s="432">
        <v>410000</v>
      </c>
      <c r="AF97" s="432">
        <v>410000</v>
      </c>
      <c r="AG97" s="432">
        <v>410000</v>
      </c>
      <c r="AH97" s="432">
        <v>410000</v>
      </c>
      <c r="AI97" s="158">
        <v>133637</v>
      </c>
      <c r="AJ97" s="158">
        <v>0</v>
      </c>
      <c r="AK97" s="158">
        <v>133637</v>
      </c>
      <c r="AL97" s="158">
        <v>133637</v>
      </c>
      <c r="AM97" s="158">
        <v>2394000</v>
      </c>
      <c r="AN97" s="158">
        <v>133637</v>
      </c>
      <c r="AO97" s="158">
        <v>133637</v>
      </c>
      <c r="AP97" s="158">
        <v>133000</v>
      </c>
      <c r="AQ97" s="432">
        <v>0</v>
      </c>
      <c r="AR97" s="432">
        <v>0</v>
      </c>
      <c r="AS97" s="432">
        <v>0</v>
      </c>
      <c r="AT97" s="432">
        <v>0</v>
      </c>
      <c r="AU97" s="432">
        <v>0</v>
      </c>
      <c r="AV97" s="432">
        <v>0</v>
      </c>
      <c r="AW97" s="432">
        <v>0</v>
      </c>
      <c r="AX97" s="432">
        <v>0</v>
      </c>
      <c r="AY97" s="158">
        <v>0</v>
      </c>
      <c r="AZ97" s="158">
        <v>0</v>
      </c>
      <c r="BA97" s="158">
        <v>0</v>
      </c>
      <c r="BB97" s="158">
        <v>0</v>
      </c>
      <c r="BC97" s="158">
        <v>0</v>
      </c>
      <c r="BD97" s="158">
        <v>0</v>
      </c>
      <c r="BE97" s="158">
        <v>0</v>
      </c>
      <c r="BF97" s="160">
        <v>0</v>
      </c>
      <c r="BG97" s="383">
        <v>2023</v>
      </c>
      <c r="BH97" s="383">
        <v>3</v>
      </c>
      <c r="BI97" s="383">
        <v>9</v>
      </c>
      <c r="BK97" s="147" t="str">
        <f>IF(R97=SUM(Z97,AH97,AP97,AX97,BF97),"○","×")</f>
        <v>○</v>
      </c>
    </row>
    <row r="98" spans="1:63" x14ac:dyDescent="0.2">
      <c r="A98" s="428">
        <v>1117</v>
      </c>
      <c r="B98" s="429"/>
      <c r="C98" s="430"/>
      <c r="D98" s="429"/>
      <c r="E98" s="430"/>
      <c r="F98" s="429"/>
      <c r="G98" s="429"/>
      <c r="H98" s="430"/>
      <c r="I98" s="429"/>
      <c r="J98" s="429"/>
      <c r="K98" s="429"/>
      <c r="L98" s="383"/>
      <c r="M98" s="383" t="s">
        <v>501</v>
      </c>
      <c r="N98" s="383" t="s">
        <v>353</v>
      </c>
      <c r="O98" s="383" t="s">
        <v>502</v>
      </c>
      <c r="P98" s="383" t="s">
        <v>970</v>
      </c>
      <c r="Q98" s="383"/>
      <c r="R98" s="431">
        <v>656000</v>
      </c>
      <c r="S98" s="158">
        <v>0</v>
      </c>
      <c r="T98" s="158">
        <v>0</v>
      </c>
      <c r="U98" s="158">
        <v>0</v>
      </c>
      <c r="V98" s="158">
        <v>0</v>
      </c>
      <c r="W98" s="158">
        <v>0</v>
      </c>
      <c r="X98" s="158">
        <v>0</v>
      </c>
      <c r="Y98" s="158">
        <v>0</v>
      </c>
      <c r="Z98" s="158">
        <v>0</v>
      </c>
      <c r="AA98" s="432">
        <v>0</v>
      </c>
      <c r="AB98" s="432">
        <v>0</v>
      </c>
      <c r="AC98" s="432">
        <v>0</v>
      </c>
      <c r="AD98" s="432">
        <v>0</v>
      </c>
      <c r="AE98" s="432">
        <v>0</v>
      </c>
      <c r="AF98" s="432">
        <v>0</v>
      </c>
      <c r="AG98" s="432">
        <v>0</v>
      </c>
      <c r="AH98" s="432">
        <v>0</v>
      </c>
      <c r="AI98" s="158">
        <v>480164</v>
      </c>
      <c r="AJ98" s="158">
        <v>0</v>
      </c>
      <c r="AK98" s="158">
        <v>480164</v>
      </c>
      <c r="AL98" s="158">
        <v>480164</v>
      </c>
      <c r="AM98" s="158">
        <v>2610000</v>
      </c>
      <c r="AN98" s="158">
        <v>480164</v>
      </c>
      <c r="AO98" s="158">
        <v>480164</v>
      </c>
      <c r="AP98" s="158">
        <v>480000</v>
      </c>
      <c r="AQ98" s="432">
        <v>0</v>
      </c>
      <c r="AR98" s="432">
        <v>0</v>
      </c>
      <c r="AS98" s="432">
        <v>0</v>
      </c>
      <c r="AT98" s="432">
        <v>0</v>
      </c>
      <c r="AU98" s="432">
        <v>0</v>
      </c>
      <c r="AV98" s="432">
        <v>0</v>
      </c>
      <c r="AW98" s="432">
        <v>0</v>
      </c>
      <c r="AX98" s="432">
        <v>0</v>
      </c>
      <c r="AY98" s="158">
        <v>176176</v>
      </c>
      <c r="AZ98" s="158">
        <v>0</v>
      </c>
      <c r="BA98" s="158">
        <v>176176</v>
      </c>
      <c r="BB98" s="158">
        <v>176176</v>
      </c>
      <c r="BC98" s="158">
        <v>176176</v>
      </c>
      <c r="BD98" s="158">
        <v>176176</v>
      </c>
      <c r="BE98" s="158">
        <v>176176</v>
      </c>
      <c r="BF98" s="160">
        <v>176000</v>
      </c>
      <c r="BG98" s="383">
        <v>2023</v>
      </c>
      <c r="BH98" s="383">
        <v>3</v>
      </c>
      <c r="BI98" s="383">
        <v>9</v>
      </c>
      <c r="BK98" s="147" t="str">
        <f>IF(R98=SUM(Z98,AH98,AP98,AX98,BF98),"○","×")</f>
        <v>○</v>
      </c>
    </row>
    <row r="99" spans="1:63" x14ac:dyDescent="0.2">
      <c r="A99" s="428">
        <v>1118</v>
      </c>
      <c r="B99" s="429"/>
      <c r="C99" s="430"/>
      <c r="D99" s="429"/>
      <c r="E99" s="430"/>
      <c r="F99" s="429"/>
      <c r="G99" s="429"/>
      <c r="H99" s="430"/>
      <c r="I99" s="429"/>
      <c r="J99" s="429"/>
      <c r="K99" s="429"/>
      <c r="L99" s="383"/>
      <c r="M99" s="383" t="s">
        <v>503</v>
      </c>
      <c r="N99" s="383" t="s">
        <v>329</v>
      </c>
      <c r="O99" s="383" t="s">
        <v>973</v>
      </c>
      <c r="P99" s="383" t="s">
        <v>970</v>
      </c>
      <c r="Q99" s="383"/>
      <c r="R99" s="431">
        <v>1166000</v>
      </c>
      <c r="S99" s="158">
        <v>0</v>
      </c>
      <c r="T99" s="158">
        <v>0</v>
      </c>
      <c r="U99" s="158">
        <v>0</v>
      </c>
      <c r="V99" s="158">
        <v>0</v>
      </c>
      <c r="W99" s="158">
        <v>0</v>
      </c>
      <c r="X99" s="158">
        <v>0</v>
      </c>
      <c r="Y99" s="158">
        <v>0</v>
      </c>
      <c r="Z99" s="158">
        <v>0</v>
      </c>
      <c r="AA99" s="432">
        <v>476666</v>
      </c>
      <c r="AB99" s="432">
        <v>0</v>
      </c>
      <c r="AC99" s="432">
        <v>476666</v>
      </c>
      <c r="AD99" s="432">
        <v>476666</v>
      </c>
      <c r="AE99" s="432">
        <v>410000</v>
      </c>
      <c r="AF99" s="432">
        <v>410000</v>
      </c>
      <c r="AG99" s="432">
        <v>410000</v>
      </c>
      <c r="AH99" s="432">
        <v>410000</v>
      </c>
      <c r="AI99" s="158">
        <v>756510</v>
      </c>
      <c r="AJ99" s="158">
        <v>0</v>
      </c>
      <c r="AK99" s="158">
        <v>756510</v>
      </c>
      <c r="AL99" s="158">
        <v>756510</v>
      </c>
      <c r="AM99" s="158">
        <v>4032000</v>
      </c>
      <c r="AN99" s="158">
        <v>756510</v>
      </c>
      <c r="AO99" s="158">
        <v>756510</v>
      </c>
      <c r="AP99" s="158">
        <v>756000</v>
      </c>
      <c r="AQ99" s="432">
        <v>0</v>
      </c>
      <c r="AR99" s="432">
        <v>0</v>
      </c>
      <c r="AS99" s="432">
        <v>0</v>
      </c>
      <c r="AT99" s="432">
        <v>0</v>
      </c>
      <c r="AU99" s="432">
        <v>0</v>
      </c>
      <c r="AV99" s="432">
        <v>0</v>
      </c>
      <c r="AW99" s="432">
        <v>0</v>
      </c>
      <c r="AX99" s="432">
        <v>0</v>
      </c>
      <c r="AY99" s="158">
        <v>0</v>
      </c>
      <c r="AZ99" s="158">
        <v>0</v>
      </c>
      <c r="BA99" s="158">
        <v>0</v>
      </c>
      <c r="BB99" s="158">
        <v>0</v>
      </c>
      <c r="BC99" s="158">
        <v>0</v>
      </c>
      <c r="BD99" s="158">
        <v>0</v>
      </c>
      <c r="BE99" s="158">
        <v>0</v>
      </c>
      <c r="BF99" s="160">
        <v>0</v>
      </c>
      <c r="BG99" s="383">
        <v>2023</v>
      </c>
      <c r="BH99" s="383">
        <v>3</v>
      </c>
      <c r="BI99" s="383">
        <v>9</v>
      </c>
      <c r="BK99" s="147" t="str">
        <f>IF(R99=SUM(Z99,AH99,AP99,AX99,BF99),"○","×")</f>
        <v>○</v>
      </c>
    </row>
    <row r="100" spans="1:63" x14ac:dyDescent="0.2">
      <c r="A100" s="428">
        <v>1119</v>
      </c>
      <c r="B100" s="429"/>
      <c r="C100" s="430"/>
      <c r="D100" s="429"/>
      <c r="E100" s="430"/>
      <c r="F100" s="429"/>
      <c r="G100" s="429"/>
      <c r="H100" s="430"/>
      <c r="I100" s="429"/>
      <c r="J100" s="429"/>
      <c r="K100" s="429"/>
      <c r="L100" s="383"/>
      <c r="M100" s="383" t="s">
        <v>505</v>
      </c>
      <c r="N100" s="383" t="s">
        <v>323</v>
      </c>
      <c r="O100" s="383" t="s">
        <v>506</v>
      </c>
      <c r="P100" s="383" t="s">
        <v>970</v>
      </c>
      <c r="Q100" s="383"/>
      <c r="R100" s="431">
        <v>13000</v>
      </c>
      <c r="S100" s="158">
        <v>0</v>
      </c>
      <c r="T100" s="158">
        <v>0</v>
      </c>
      <c r="U100" s="158">
        <v>0</v>
      </c>
      <c r="V100" s="158">
        <v>0</v>
      </c>
      <c r="W100" s="158">
        <v>0</v>
      </c>
      <c r="X100" s="158">
        <v>0</v>
      </c>
      <c r="Y100" s="158">
        <v>0</v>
      </c>
      <c r="Z100" s="158">
        <v>0</v>
      </c>
      <c r="AA100" s="432">
        <v>0</v>
      </c>
      <c r="AB100" s="432">
        <v>0</v>
      </c>
      <c r="AC100" s="432">
        <v>0</v>
      </c>
      <c r="AD100" s="432">
        <v>0</v>
      </c>
      <c r="AE100" s="432">
        <v>0</v>
      </c>
      <c r="AF100" s="432">
        <v>0</v>
      </c>
      <c r="AG100" s="432">
        <v>0</v>
      </c>
      <c r="AH100" s="432">
        <v>0</v>
      </c>
      <c r="AI100" s="158">
        <v>13998</v>
      </c>
      <c r="AJ100" s="158">
        <v>0</v>
      </c>
      <c r="AK100" s="158">
        <v>13998</v>
      </c>
      <c r="AL100" s="158">
        <v>13998</v>
      </c>
      <c r="AM100" s="158">
        <v>3484800</v>
      </c>
      <c r="AN100" s="158">
        <v>13998</v>
      </c>
      <c r="AO100" s="158">
        <v>13998</v>
      </c>
      <c r="AP100" s="158">
        <v>13000</v>
      </c>
      <c r="AQ100" s="432">
        <v>0</v>
      </c>
      <c r="AR100" s="432">
        <v>0</v>
      </c>
      <c r="AS100" s="432">
        <v>0</v>
      </c>
      <c r="AT100" s="432">
        <v>0</v>
      </c>
      <c r="AU100" s="432">
        <v>0</v>
      </c>
      <c r="AV100" s="432">
        <v>0</v>
      </c>
      <c r="AW100" s="432">
        <v>0</v>
      </c>
      <c r="AX100" s="432">
        <v>0</v>
      </c>
      <c r="AY100" s="158">
        <v>0</v>
      </c>
      <c r="AZ100" s="158">
        <v>0</v>
      </c>
      <c r="BA100" s="158">
        <v>0</v>
      </c>
      <c r="BB100" s="158">
        <v>0</v>
      </c>
      <c r="BC100" s="158">
        <v>0</v>
      </c>
      <c r="BD100" s="158">
        <v>0</v>
      </c>
      <c r="BE100" s="158">
        <v>0</v>
      </c>
      <c r="BF100" s="160">
        <v>0</v>
      </c>
      <c r="BG100" s="383">
        <v>2023</v>
      </c>
      <c r="BH100" s="383">
        <v>3</v>
      </c>
      <c r="BI100" s="383">
        <v>9</v>
      </c>
      <c r="BK100" s="147" t="str">
        <f>IF(R100=SUM(Z100,AH100,AP100,AX100,BF100),"○","×")</f>
        <v>○</v>
      </c>
    </row>
    <row r="101" spans="1:63" x14ac:dyDescent="0.2">
      <c r="A101" s="428">
        <v>1120</v>
      </c>
      <c r="B101" s="429"/>
      <c r="C101" s="430"/>
      <c r="D101" s="429"/>
      <c r="E101" s="430"/>
      <c r="F101" s="429"/>
      <c r="G101" s="429"/>
      <c r="H101" s="430"/>
      <c r="I101" s="429"/>
      <c r="J101" s="429"/>
      <c r="K101" s="429"/>
      <c r="L101" s="383"/>
      <c r="M101" s="383" t="s">
        <v>507</v>
      </c>
      <c r="N101" s="383" t="s">
        <v>408</v>
      </c>
      <c r="O101" s="383" t="s">
        <v>395</v>
      </c>
      <c r="P101" s="383" t="s">
        <v>970</v>
      </c>
      <c r="Q101" s="383"/>
      <c r="R101" s="431">
        <v>381000</v>
      </c>
      <c r="S101" s="158">
        <v>0</v>
      </c>
      <c r="T101" s="158">
        <v>0</v>
      </c>
      <c r="U101" s="158">
        <v>0</v>
      </c>
      <c r="V101" s="158">
        <v>0</v>
      </c>
      <c r="W101" s="158">
        <v>0</v>
      </c>
      <c r="X101" s="158">
        <v>0</v>
      </c>
      <c r="Y101" s="158">
        <v>0</v>
      </c>
      <c r="Z101" s="158">
        <v>0</v>
      </c>
      <c r="AA101" s="432">
        <v>0</v>
      </c>
      <c r="AB101" s="432">
        <v>0</v>
      </c>
      <c r="AC101" s="432">
        <v>0</v>
      </c>
      <c r="AD101" s="432">
        <v>0</v>
      </c>
      <c r="AE101" s="432">
        <v>0</v>
      </c>
      <c r="AF101" s="432">
        <v>0</v>
      </c>
      <c r="AG101" s="432">
        <v>0</v>
      </c>
      <c r="AH101" s="432">
        <v>0</v>
      </c>
      <c r="AI101" s="158">
        <v>55546</v>
      </c>
      <c r="AJ101" s="158">
        <v>0</v>
      </c>
      <c r="AK101" s="158">
        <v>55546</v>
      </c>
      <c r="AL101" s="158">
        <v>55546</v>
      </c>
      <c r="AM101" s="158">
        <v>2160000</v>
      </c>
      <c r="AN101" s="158">
        <v>55546</v>
      </c>
      <c r="AO101" s="158">
        <v>55546</v>
      </c>
      <c r="AP101" s="158">
        <v>55000</v>
      </c>
      <c r="AQ101" s="432">
        <v>0</v>
      </c>
      <c r="AR101" s="432">
        <v>0</v>
      </c>
      <c r="AS101" s="432">
        <v>0</v>
      </c>
      <c r="AT101" s="432">
        <v>0</v>
      </c>
      <c r="AU101" s="432">
        <v>0</v>
      </c>
      <c r="AV101" s="432">
        <v>0</v>
      </c>
      <c r="AW101" s="432">
        <v>0</v>
      </c>
      <c r="AX101" s="432">
        <v>0</v>
      </c>
      <c r="AY101" s="158">
        <v>326447</v>
      </c>
      <c r="AZ101" s="158">
        <v>0</v>
      </c>
      <c r="BA101" s="158">
        <v>326447</v>
      </c>
      <c r="BB101" s="158">
        <v>326447</v>
      </c>
      <c r="BC101" s="158">
        <v>326447</v>
      </c>
      <c r="BD101" s="158">
        <v>326447</v>
      </c>
      <c r="BE101" s="158">
        <v>326447</v>
      </c>
      <c r="BF101" s="160">
        <v>326000</v>
      </c>
      <c r="BG101" s="383">
        <v>2023</v>
      </c>
      <c r="BH101" s="383">
        <v>3</v>
      </c>
      <c r="BI101" s="383">
        <v>9</v>
      </c>
      <c r="BK101" s="147" t="str">
        <f>IF(R101=SUM(Z101,AH101,AP101,AX101,BF101),"○","×")</f>
        <v>○</v>
      </c>
    </row>
    <row r="102" spans="1:63" x14ac:dyDescent="0.2">
      <c r="A102" s="428">
        <v>1124</v>
      </c>
      <c r="B102" s="429"/>
      <c r="C102" s="430"/>
      <c r="D102" s="429"/>
      <c r="E102" s="430"/>
      <c r="F102" s="429"/>
      <c r="G102" s="429"/>
      <c r="H102" s="430"/>
      <c r="I102" s="429"/>
      <c r="J102" s="429"/>
      <c r="K102" s="429"/>
      <c r="L102" s="383"/>
      <c r="M102" s="383" t="s">
        <v>511</v>
      </c>
      <c r="N102" s="383" t="s">
        <v>323</v>
      </c>
      <c r="O102" s="383" t="s">
        <v>464</v>
      </c>
      <c r="P102" s="383" t="s">
        <v>970</v>
      </c>
      <c r="Q102" s="146"/>
      <c r="R102" s="431">
        <v>1062000</v>
      </c>
      <c r="S102" s="158">
        <v>0</v>
      </c>
      <c r="T102" s="158">
        <v>0</v>
      </c>
      <c r="U102" s="158">
        <v>0</v>
      </c>
      <c r="V102" s="158">
        <v>0</v>
      </c>
      <c r="W102" s="158">
        <v>0</v>
      </c>
      <c r="X102" s="158">
        <v>0</v>
      </c>
      <c r="Y102" s="158">
        <v>0</v>
      </c>
      <c r="Z102" s="158">
        <v>0</v>
      </c>
      <c r="AA102" s="432">
        <v>0</v>
      </c>
      <c r="AB102" s="432">
        <v>0</v>
      </c>
      <c r="AC102" s="432">
        <v>0</v>
      </c>
      <c r="AD102" s="432">
        <v>0</v>
      </c>
      <c r="AE102" s="432">
        <v>0</v>
      </c>
      <c r="AF102" s="432">
        <v>0</v>
      </c>
      <c r="AG102" s="432">
        <v>0</v>
      </c>
      <c r="AH102" s="432">
        <v>0</v>
      </c>
      <c r="AI102" s="158">
        <v>0</v>
      </c>
      <c r="AJ102" s="158">
        <v>0</v>
      </c>
      <c r="AK102" s="158">
        <v>0</v>
      </c>
      <c r="AL102" s="158">
        <v>0</v>
      </c>
      <c r="AM102" s="158">
        <v>0</v>
      </c>
      <c r="AN102" s="158">
        <v>0</v>
      </c>
      <c r="AO102" s="158">
        <v>0</v>
      </c>
      <c r="AP102" s="158">
        <v>0</v>
      </c>
      <c r="AQ102" s="432">
        <v>0</v>
      </c>
      <c r="AR102" s="432">
        <v>0</v>
      </c>
      <c r="AS102" s="432">
        <v>0</v>
      </c>
      <c r="AT102" s="432">
        <v>0</v>
      </c>
      <c r="AU102" s="432">
        <v>0</v>
      </c>
      <c r="AV102" s="432">
        <v>0</v>
      </c>
      <c r="AW102" s="432">
        <v>0</v>
      </c>
      <c r="AX102" s="432">
        <v>0</v>
      </c>
      <c r="AY102" s="158">
        <v>1062215</v>
      </c>
      <c r="AZ102" s="158">
        <v>0</v>
      </c>
      <c r="BA102" s="158">
        <v>1062215</v>
      </c>
      <c r="BB102" s="158">
        <v>1062215</v>
      </c>
      <c r="BC102" s="158">
        <v>1062215</v>
      </c>
      <c r="BD102" s="158">
        <v>1062215</v>
      </c>
      <c r="BE102" s="158">
        <v>1062215</v>
      </c>
      <c r="BF102" s="160">
        <v>1062000</v>
      </c>
      <c r="BG102" s="383">
        <v>2023</v>
      </c>
      <c r="BH102" s="383">
        <v>3</v>
      </c>
      <c r="BI102" s="383">
        <v>9</v>
      </c>
      <c r="BK102" s="147" t="str">
        <f>IF(R102=SUM(Z102,AH102,AP102,AX102,BF102),"○","×")</f>
        <v>○</v>
      </c>
    </row>
    <row r="103" spans="1:63" x14ac:dyDescent="0.2">
      <c r="A103" s="428">
        <v>1125</v>
      </c>
      <c r="B103" s="429"/>
      <c r="C103" s="430"/>
      <c r="D103" s="429"/>
      <c r="E103" s="430"/>
      <c r="F103" s="429"/>
      <c r="G103" s="429"/>
      <c r="H103" s="430"/>
      <c r="I103" s="429"/>
      <c r="J103" s="429"/>
      <c r="K103" s="429"/>
      <c r="L103" s="383"/>
      <c r="M103" s="383" t="s">
        <v>512</v>
      </c>
      <c r="N103" s="383" t="s">
        <v>323</v>
      </c>
      <c r="O103" s="383" t="s">
        <v>513</v>
      </c>
      <c r="P103" s="383" t="s">
        <v>970</v>
      </c>
      <c r="Q103" s="383"/>
      <c r="R103" s="431">
        <v>1915000</v>
      </c>
      <c r="S103" s="158">
        <v>0</v>
      </c>
      <c r="T103" s="158">
        <v>0</v>
      </c>
      <c r="U103" s="158">
        <v>0</v>
      </c>
      <c r="V103" s="158">
        <v>0</v>
      </c>
      <c r="W103" s="158">
        <v>0</v>
      </c>
      <c r="X103" s="158">
        <v>0</v>
      </c>
      <c r="Y103" s="158">
        <v>0</v>
      </c>
      <c r="Z103" s="158">
        <v>0</v>
      </c>
      <c r="AA103" s="432">
        <v>0</v>
      </c>
      <c r="AB103" s="432">
        <v>0</v>
      </c>
      <c r="AC103" s="432">
        <v>0</v>
      </c>
      <c r="AD103" s="432">
        <v>0</v>
      </c>
      <c r="AE103" s="432">
        <v>0</v>
      </c>
      <c r="AF103" s="432">
        <v>0</v>
      </c>
      <c r="AG103" s="432">
        <v>0</v>
      </c>
      <c r="AH103" s="432">
        <v>0</v>
      </c>
      <c r="AI103" s="158">
        <v>1915292</v>
      </c>
      <c r="AJ103" s="158">
        <v>0</v>
      </c>
      <c r="AK103" s="158">
        <v>1915292</v>
      </c>
      <c r="AL103" s="158">
        <v>1915292</v>
      </c>
      <c r="AM103" s="158">
        <v>2088000</v>
      </c>
      <c r="AN103" s="158">
        <v>1915292</v>
      </c>
      <c r="AO103" s="158">
        <v>1915292</v>
      </c>
      <c r="AP103" s="158">
        <v>1915000</v>
      </c>
      <c r="AQ103" s="432">
        <v>0</v>
      </c>
      <c r="AR103" s="432">
        <v>0</v>
      </c>
      <c r="AS103" s="432">
        <v>0</v>
      </c>
      <c r="AT103" s="432">
        <v>0</v>
      </c>
      <c r="AU103" s="432">
        <v>0</v>
      </c>
      <c r="AV103" s="432">
        <v>0</v>
      </c>
      <c r="AW103" s="432">
        <v>0</v>
      </c>
      <c r="AX103" s="432">
        <v>0</v>
      </c>
      <c r="AY103" s="158">
        <v>0</v>
      </c>
      <c r="AZ103" s="158">
        <v>0</v>
      </c>
      <c r="BA103" s="158">
        <v>0</v>
      </c>
      <c r="BB103" s="158">
        <v>0</v>
      </c>
      <c r="BC103" s="158">
        <v>0</v>
      </c>
      <c r="BD103" s="158">
        <v>0</v>
      </c>
      <c r="BE103" s="158">
        <v>0</v>
      </c>
      <c r="BF103" s="160">
        <v>0</v>
      </c>
      <c r="BG103" s="383">
        <v>2023</v>
      </c>
      <c r="BH103" s="383">
        <v>3</v>
      </c>
      <c r="BI103" s="383">
        <v>9</v>
      </c>
      <c r="BK103" s="147" t="str">
        <f>IF(R103=SUM(Z103,AH103,AP103,AX103,BF103),"○","×")</f>
        <v>○</v>
      </c>
    </row>
    <row r="104" spans="1:63" x14ac:dyDescent="0.2">
      <c r="A104" s="428">
        <v>1126</v>
      </c>
      <c r="B104" s="429"/>
      <c r="C104" s="430"/>
      <c r="D104" s="429"/>
      <c r="E104" s="430"/>
      <c r="F104" s="429"/>
      <c r="G104" s="429"/>
      <c r="H104" s="430"/>
      <c r="I104" s="429"/>
      <c r="J104" s="429"/>
      <c r="K104" s="429"/>
      <c r="L104" s="383"/>
      <c r="M104" s="383" t="s">
        <v>514</v>
      </c>
      <c r="N104" s="383" t="s">
        <v>343</v>
      </c>
      <c r="O104" s="383" t="s">
        <v>515</v>
      </c>
      <c r="P104" s="383" t="s">
        <v>970</v>
      </c>
      <c r="Q104" s="383"/>
      <c r="R104" s="431">
        <v>3041000</v>
      </c>
      <c r="S104" s="158">
        <v>0</v>
      </c>
      <c r="T104" s="158">
        <v>0</v>
      </c>
      <c r="U104" s="158">
        <v>0</v>
      </c>
      <c r="V104" s="158">
        <v>0</v>
      </c>
      <c r="W104" s="158">
        <v>0</v>
      </c>
      <c r="X104" s="158">
        <v>0</v>
      </c>
      <c r="Y104" s="158">
        <v>0</v>
      </c>
      <c r="Z104" s="158">
        <v>0</v>
      </c>
      <c r="AA104" s="432">
        <v>0</v>
      </c>
      <c r="AB104" s="432">
        <v>0</v>
      </c>
      <c r="AC104" s="432">
        <v>0</v>
      </c>
      <c r="AD104" s="432">
        <v>0</v>
      </c>
      <c r="AE104" s="432">
        <v>0</v>
      </c>
      <c r="AF104" s="432">
        <v>0</v>
      </c>
      <c r="AG104" s="432">
        <v>0</v>
      </c>
      <c r="AH104" s="432">
        <v>0</v>
      </c>
      <c r="AI104" s="158">
        <v>1837750</v>
      </c>
      <c r="AJ104" s="158">
        <v>0</v>
      </c>
      <c r="AK104" s="158">
        <v>1837750</v>
      </c>
      <c r="AL104" s="158">
        <v>1837750</v>
      </c>
      <c r="AM104" s="158">
        <v>6480000</v>
      </c>
      <c r="AN104" s="158">
        <v>1837750</v>
      </c>
      <c r="AO104" s="158">
        <v>1837000</v>
      </c>
      <c r="AP104" s="158">
        <v>1837000</v>
      </c>
      <c r="AQ104" s="432">
        <v>32257</v>
      </c>
      <c r="AR104" s="432">
        <v>0</v>
      </c>
      <c r="AS104" s="432">
        <v>32257</v>
      </c>
      <c r="AT104" s="432">
        <v>32257</v>
      </c>
      <c r="AU104" s="432">
        <v>51400</v>
      </c>
      <c r="AV104" s="432">
        <v>32257</v>
      </c>
      <c r="AW104" s="432">
        <v>32000</v>
      </c>
      <c r="AX104" s="432">
        <v>32000</v>
      </c>
      <c r="AY104" s="158">
        <v>1172344</v>
      </c>
      <c r="AZ104" s="158">
        <v>0</v>
      </c>
      <c r="BA104" s="158">
        <v>1172344</v>
      </c>
      <c r="BB104" s="158">
        <v>1172344</v>
      </c>
      <c r="BC104" s="158">
        <v>1172344</v>
      </c>
      <c r="BD104" s="158">
        <v>1172344</v>
      </c>
      <c r="BE104" s="158">
        <v>1172000</v>
      </c>
      <c r="BF104" s="160">
        <v>1172000</v>
      </c>
      <c r="BG104" s="383">
        <v>2023</v>
      </c>
      <c r="BH104" s="383">
        <v>3</v>
      </c>
      <c r="BI104" s="383">
        <v>9</v>
      </c>
      <c r="BK104" s="147" t="str">
        <f>IF(R104=SUM(Z104,AH104,AP104,AX104,BF104),"○","×")</f>
        <v>○</v>
      </c>
    </row>
    <row r="105" spans="1:63" x14ac:dyDescent="0.2">
      <c r="A105" s="428">
        <v>1128</v>
      </c>
      <c r="B105" s="429"/>
      <c r="C105" s="430"/>
      <c r="D105" s="429"/>
      <c r="E105" s="430"/>
      <c r="F105" s="429"/>
      <c r="G105" s="429"/>
      <c r="H105" s="430"/>
      <c r="I105" s="429"/>
      <c r="J105" s="429"/>
      <c r="K105" s="429"/>
      <c r="L105" s="383"/>
      <c r="M105" s="383" t="s">
        <v>518</v>
      </c>
      <c r="N105" s="383" t="s">
        <v>335</v>
      </c>
      <c r="O105" s="383" t="s">
        <v>515</v>
      </c>
      <c r="P105" s="383" t="s">
        <v>970</v>
      </c>
      <c r="Q105" s="383"/>
      <c r="R105" s="431">
        <v>4644000</v>
      </c>
      <c r="S105" s="158">
        <v>0</v>
      </c>
      <c r="T105" s="158">
        <v>0</v>
      </c>
      <c r="U105" s="158">
        <v>0</v>
      </c>
      <c r="V105" s="158">
        <v>0</v>
      </c>
      <c r="W105" s="158">
        <v>0</v>
      </c>
      <c r="X105" s="158">
        <v>0</v>
      </c>
      <c r="Y105" s="158">
        <v>0</v>
      </c>
      <c r="Z105" s="158">
        <v>0</v>
      </c>
      <c r="AA105" s="432">
        <v>0</v>
      </c>
      <c r="AB105" s="432">
        <v>0</v>
      </c>
      <c r="AC105" s="432">
        <v>0</v>
      </c>
      <c r="AD105" s="432">
        <v>0</v>
      </c>
      <c r="AE105" s="432">
        <v>0</v>
      </c>
      <c r="AF105" s="432">
        <v>0</v>
      </c>
      <c r="AG105" s="432">
        <v>0</v>
      </c>
      <c r="AH105" s="432">
        <v>0</v>
      </c>
      <c r="AI105" s="158">
        <v>3393048</v>
      </c>
      <c r="AJ105" s="158">
        <v>0</v>
      </c>
      <c r="AK105" s="158">
        <v>3393048</v>
      </c>
      <c r="AL105" s="158">
        <v>3393048</v>
      </c>
      <c r="AM105" s="158">
        <v>28173600</v>
      </c>
      <c r="AN105" s="158">
        <v>3393048</v>
      </c>
      <c r="AO105" s="158">
        <v>3393048</v>
      </c>
      <c r="AP105" s="158">
        <v>3393000</v>
      </c>
      <c r="AQ105" s="432">
        <v>0</v>
      </c>
      <c r="AR105" s="432">
        <v>0</v>
      </c>
      <c r="AS105" s="432">
        <v>0</v>
      </c>
      <c r="AT105" s="432">
        <v>0</v>
      </c>
      <c r="AU105" s="432">
        <v>0</v>
      </c>
      <c r="AV105" s="432">
        <v>0</v>
      </c>
      <c r="AW105" s="432">
        <v>0</v>
      </c>
      <c r="AX105" s="432">
        <v>0</v>
      </c>
      <c r="AY105" s="158">
        <v>1251984</v>
      </c>
      <c r="AZ105" s="158">
        <v>0</v>
      </c>
      <c r="BA105" s="158">
        <v>1251984</v>
      </c>
      <c r="BB105" s="158">
        <v>1251984</v>
      </c>
      <c r="BC105" s="158">
        <v>1251984</v>
      </c>
      <c r="BD105" s="158">
        <v>1251984</v>
      </c>
      <c r="BE105" s="158">
        <v>1251984</v>
      </c>
      <c r="BF105" s="160">
        <v>1251000</v>
      </c>
      <c r="BG105" s="383">
        <v>2023</v>
      </c>
      <c r="BH105" s="383">
        <v>3</v>
      </c>
      <c r="BI105" s="383">
        <v>9</v>
      </c>
      <c r="BK105" s="147" t="str">
        <f>IF(R105=SUM(Z105,AH105,AP105,AX105,BF105),"○","×")</f>
        <v>○</v>
      </c>
    </row>
    <row r="106" spans="1:63" x14ac:dyDescent="0.2">
      <c r="A106" s="428">
        <v>1129</v>
      </c>
      <c r="B106" s="429"/>
      <c r="C106" s="430"/>
      <c r="D106" s="429"/>
      <c r="E106" s="430"/>
      <c r="F106" s="429"/>
      <c r="G106" s="429"/>
      <c r="H106" s="430"/>
      <c r="I106" s="429"/>
      <c r="J106" s="429"/>
      <c r="K106" s="429"/>
      <c r="L106" s="383"/>
      <c r="M106" s="383" t="s">
        <v>519</v>
      </c>
      <c r="N106" s="383" t="s">
        <v>974</v>
      </c>
      <c r="O106" s="383" t="s">
        <v>520</v>
      </c>
      <c r="P106" s="383" t="s">
        <v>970</v>
      </c>
      <c r="Q106" s="383"/>
      <c r="R106" s="431">
        <v>70000</v>
      </c>
      <c r="S106" s="158">
        <v>0</v>
      </c>
      <c r="T106" s="158">
        <v>0</v>
      </c>
      <c r="U106" s="158">
        <v>0</v>
      </c>
      <c r="V106" s="158">
        <v>0</v>
      </c>
      <c r="W106" s="158">
        <v>0</v>
      </c>
      <c r="X106" s="158">
        <v>0</v>
      </c>
      <c r="Y106" s="158">
        <v>0</v>
      </c>
      <c r="Z106" s="158">
        <v>0</v>
      </c>
      <c r="AA106" s="432">
        <v>0</v>
      </c>
      <c r="AB106" s="432">
        <v>0</v>
      </c>
      <c r="AC106" s="432">
        <v>0</v>
      </c>
      <c r="AD106" s="432">
        <v>0</v>
      </c>
      <c r="AE106" s="432">
        <v>0</v>
      </c>
      <c r="AF106" s="432">
        <v>0</v>
      </c>
      <c r="AG106" s="432">
        <v>0</v>
      </c>
      <c r="AH106" s="432">
        <v>0</v>
      </c>
      <c r="AI106" s="158">
        <v>50930</v>
      </c>
      <c r="AJ106" s="158">
        <v>0</v>
      </c>
      <c r="AK106" s="158">
        <v>50930</v>
      </c>
      <c r="AL106" s="158">
        <v>50930</v>
      </c>
      <c r="AM106" s="158">
        <v>6220800</v>
      </c>
      <c r="AN106" s="158">
        <v>50930</v>
      </c>
      <c r="AO106" s="158">
        <v>50000</v>
      </c>
      <c r="AP106" s="158">
        <v>50000</v>
      </c>
      <c r="AQ106" s="432">
        <v>0</v>
      </c>
      <c r="AR106" s="432">
        <v>0</v>
      </c>
      <c r="AS106" s="432">
        <v>0</v>
      </c>
      <c r="AT106" s="432">
        <v>0</v>
      </c>
      <c r="AU106" s="432">
        <v>0</v>
      </c>
      <c r="AV106" s="432">
        <v>0</v>
      </c>
      <c r="AW106" s="432">
        <v>0</v>
      </c>
      <c r="AX106" s="432">
        <v>0</v>
      </c>
      <c r="AY106" s="158">
        <v>20350</v>
      </c>
      <c r="AZ106" s="158">
        <v>0</v>
      </c>
      <c r="BA106" s="158">
        <v>20350</v>
      </c>
      <c r="BB106" s="158">
        <v>20350</v>
      </c>
      <c r="BC106" s="158">
        <v>20350</v>
      </c>
      <c r="BD106" s="158">
        <v>20350</v>
      </c>
      <c r="BE106" s="158">
        <v>20000</v>
      </c>
      <c r="BF106" s="160">
        <v>20000</v>
      </c>
      <c r="BG106" s="383">
        <v>2023</v>
      </c>
      <c r="BH106" s="383">
        <v>3</v>
      </c>
      <c r="BI106" s="383">
        <v>9</v>
      </c>
      <c r="BK106" s="147" t="str">
        <f>IF(R106=SUM(Z106,AH106,AP106,AX106,BF106),"○","×")</f>
        <v>○</v>
      </c>
    </row>
    <row r="107" spans="1:63" s="152" customFormat="1" x14ac:dyDescent="0.2">
      <c r="A107" s="428">
        <v>1130</v>
      </c>
      <c r="B107" s="429"/>
      <c r="C107" s="430"/>
      <c r="D107" s="429"/>
      <c r="E107" s="430"/>
      <c r="F107" s="429"/>
      <c r="G107" s="429"/>
      <c r="H107" s="430"/>
      <c r="I107" s="429"/>
      <c r="J107" s="429"/>
      <c r="K107" s="429"/>
      <c r="L107" s="383"/>
      <c r="M107" s="383" t="s">
        <v>521</v>
      </c>
      <c r="N107" s="383" t="s">
        <v>522</v>
      </c>
      <c r="O107" s="383" t="s">
        <v>523</v>
      </c>
      <c r="P107" s="383" t="s">
        <v>970</v>
      </c>
      <c r="Q107" s="383"/>
      <c r="R107" s="431">
        <v>2066000</v>
      </c>
      <c r="S107" s="158">
        <v>0</v>
      </c>
      <c r="T107" s="158">
        <v>0</v>
      </c>
      <c r="U107" s="158">
        <v>0</v>
      </c>
      <c r="V107" s="158">
        <v>0</v>
      </c>
      <c r="W107" s="158">
        <v>0</v>
      </c>
      <c r="X107" s="158">
        <v>0</v>
      </c>
      <c r="Y107" s="158">
        <v>0</v>
      </c>
      <c r="Z107" s="158">
        <v>0</v>
      </c>
      <c r="AA107" s="432">
        <v>405900</v>
      </c>
      <c r="AB107" s="432">
        <v>0</v>
      </c>
      <c r="AC107" s="432">
        <v>405900</v>
      </c>
      <c r="AD107" s="432">
        <v>405900</v>
      </c>
      <c r="AE107" s="432">
        <v>410000</v>
      </c>
      <c r="AF107" s="432">
        <v>405900</v>
      </c>
      <c r="AG107" s="432">
        <v>405900</v>
      </c>
      <c r="AH107" s="432">
        <v>405000</v>
      </c>
      <c r="AI107" s="158">
        <v>287920</v>
      </c>
      <c r="AJ107" s="158">
        <v>0</v>
      </c>
      <c r="AK107" s="158">
        <v>287920</v>
      </c>
      <c r="AL107" s="158">
        <v>287920</v>
      </c>
      <c r="AM107" s="158">
        <v>4320000</v>
      </c>
      <c r="AN107" s="158">
        <v>287920</v>
      </c>
      <c r="AO107" s="158">
        <v>287920</v>
      </c>
      <c r="AP107" s="158">
        <v>287000</v>
      </c>
      <c r="AQ107" s="432">
        <v>0</v>
      </c>
      <c r="AR107" s="432">
        <v>0</v>
      </c>
      <c r="AS107" s="432">
        <v>0</v>
      </c>
      <c r="AT107" s="432">
        <v>0</v>
      </c>
      <c r="AU107" s="432">
        <v>0</v>
      </c>
      <c r="AV107" s="432">
        <v>0</v>
      </c>
      <c r="AW107" s="432">
        <v>0</v>
      </c>
      <c r="AX107" s="432">
        <v>0</v>
      </c>
      <c r="AY107" s="158">
        <v>1374915</v>
      </c>
      <c r="AZ107" s="158">
        <v>0</v>
      </c>
      <c r="BA107" s="158">
        <v>1374915</v>
      </c>
      <c r="BB107" s="158">
        <v>1374915</v>
      </c>
      <c r="BC107" s="158">
        <v>1374915</v>
      </c>
      <c r="BD107" s="158">
        <v>1374915</v>
      </c>
      <c r="BE107" s="158">
        <v>1374915</v>
      </c>
      <c r="BF107" s="160">
        <v>1374000</v>
      </c>
      <c r="BG107" s="383">
        <v>2023</v>
      </c>
      <c r="BH107" s="383">
        <v>3</v>
      </c>
      <c r="BI107" s="383">
        <v>9</v>
      </c>
      <c r="BJ107" s="148"/>
      <c r="BK107" s="147" t="str">
        <f>IF(R107=SUM(Z107,AH107,AP107,AX107,BF107),"○","×")</f>
        <v>○</v>
      </c>
    </row>
    <row r="108" spans="1:63" x14ac:dyDescent="0.2">
      <c r="A108" s="428">
        <v>1136</v>
      </c>
      <c r="B108" s="429"/>
      <c r="C108" s="430"/>
      <c r="D108" s="429"/>
      <c r="E108" s="430"/>
      <c r="F108" s="429"/>
      <c r="G108" s="429"/>
      <c r="H108" s="430"/>
      <c r="I108" s="429"/>
      <c r="J108" s="429"/>
      <c r="K108" s="429"/>
      <c r="L108" s="383"/>
      <c r="M108" s="383" t="s">
        <v>529</v>
      </c>
      <c r="N108" s="383" t="s">
        <v>329</v>
      </c>
      <c r="O108" s="383" t="s">
        <v>530</v>
      </c>
      <c r="P108" s="383" t="s">
        <v>970</v>
      </c>
      <c r="Q108" s="383"/>
      <c r="R108" s="431">
        <v>303000</v>
      </c>
      <c r="S108" s="158">
        <v>0</v>
      </c>
      <c r="T108" s="158">
        <v>0</v>
      </c>
      <c r="U108" s="158">
        <v>0</v>
      </c>
      <c r="V108" s="158">
        <v>0</v>
      </c>
      <c r="W108" s="158">
        <v>0</v>
      </c>
      <c r="X108" s="158">
        <v>0</v>
      </c>
      <c r="Y108" s="158">
        <v>0</v>
      </c>
      <c r="Z108" s="158">
        <v>0</v>
      </c>
      <c r="AA108" s="432">
        <v>0</v>
      </c>
      <c r="AB108" s="432">
        <v>0</v>
      </c>
      <c r="AC108" s="432">
        <v>0</v>
      </c>
      <c r="AD108" s="432">
        <v>0</v>
      </c>
      <c r="AE108" s="432">
        <v>0</v>
      </c>
      <c r="AF108" s="432">
        <v>0</v>
      </c>
      <c r="AG108" s="432">
        <v>0</v>
      </c>
      <c r="AH108" s="432">
        <v>0</v>
      </c>
      <c r="AI108" s="158">
        <v>199013</v>
      </c>
      <c r="AJ108" s="158">
        <v>0</v>
      </c>
      <c r="AK108" s="158">
        <v>199013</v>
      </c>
      <c r="AL108" s="158">
        <v>199013</v>
      </c>
      <c r="AM108" s="158">
        <v>9072000</v>
      </c>
      <c r="AN108" s="158">
        <v>199013</v>
      </c>
      <c r="AO108" s="158">
        <v>199013</v>
      </c>
      <c r="AP108" s="158">
        <v>199000</v>
      </c>
      <c r="AQ108" s="432">
        <v>0</v>
      </c>
      <c r="AR108" s="432">
        <v>0</v>
      </c>
      <c r="AS108" s="432">
        <v>0</v>
      </c>
      <c r="AT108" s="432">
        <v>0</v>
      </c>
      <c r="AU108" s="432">
        <v>0</v>
      </c>
      <c r="AV108" s="432">
        <v>0</v>
      </c>
      <c r="AW108" s="432">
        <v>0</v>
      </c>
      <c r="AX108" s="432">
        <v>0</v>
      </c>
      <c r="AY108" s="158">
        <v>104212</v>
      </c>
      <c r="AZ108" s="158">
        <v>0</v>
      </c>
      <c r="BA108" s="158">
        <v>104212</v>
      </c>
      <c r="BB108" s="158">
        <v>104212</v>
      </c>
      <c r="BC108" s="158">
        <v>104212</v>
      </c>
      <c r="BD108" s="158">
        <v>104212</v>
      </c>
      <c r="BE108" s="158">
        <v>104212</v>
      </c>
      <c r="BF108" s="160">
        <v>104000</v>
      </c>
      <c r="BG108" s="383">
        <v>2023</v>
      </c>
      <c r="BH108" s="383">
        <v>3</v>
      </c>
      <c r="BI108" s="383">
        <v>9</v>
      </c>
      <c r="BJ108" s="152"/>
      <c r="BK108" s="147" t="str">
        <f>IF(R108=SUM(Z108,AH108,AP108,AX108,BF108),"○","×")</f>
        <v>○</v>
      </c>
    </row>
    <row r="109" spans="1:63" x14ac:dyDescent="0.2">
      <c r="A109" s="428">
        <v>1137</v>
      </c>
      <c r="B109" s="429"/>
      <c r="C109" s="430"/>
      <c r="D109" s="429"/>
      <c r="E109" s="430"/>
      <c r="F109" s="429"/>
      <c r="G109" s="429"/>
      <c r="H109" s="430"/>
      <c r="I109" s="429"/>
      <c r="J109" s="429"/>
      <c r="K109" s="429"/>
      <c r="L109" s="383"/>
      <c r="M109" s="383" t="s">
        <v>369</v>
      </c>
      <c r="N109" s="383" t="s">
        <v>974</v>
      </c>
      <c r="O109" s="383" t="s">
        <v>370</v>
      </c>
      <c r="P109" s="383" t="s">
        <v>970</v>
      </c>
      <c r="Q109" s="383"/>
      <c r="R109" s="431">
        <v>1168000</v>
      </c>
      <c r="S109" s="158">
        <v>0</v>
      </c>
      <c r="T109" s="158">
        <v>0</v>
      </c>
      <c r="U109" s="158">
        <v>0</v>
      </c>
      <c r="V109" s="158">
        <v>0</v>
      </c>
      <c r="W109" s="158">
        <v>0</v>
      </c>
      <c r="X109" s="158">
        <v>0</v>
      </c>
      <c r="Y109" s="158">
        <v>0</v>
      </c>
      <c r="Z109" s="158">
        <v>0</v>
      </c>
      <c r="AA109" s="432">
        <v>0</v>
      </c>
      <c r="AB109" s="432">
        <v>0</v>
      </c>
      <c r="AC109" s="432">
        <v>0</v>
      </c>
      <c r="AD109" s="432">
        <v>0</v>
      </c>
      <c r="AE109" s="432">
        <v>0</v>
      </c>
      <c r="AF109" s="432">
        <v>0</v>
      </c>
      <c r="AG109" s="432">
        <v>0</v>
      </c>
      <c r="AH109" s="432">
        <v>0</v>
      </c>
      <c r="AI109" s="158">
        <v>1168180</v>
      </c>
      <c r="AJ109" s="158"/>
      <c r="AK109" s="158">
        <v>1168180</v>
      </c>
      <c r="AL109" s="158">
        <v>1168180</v>
      </c>
      <c r="AM109" s="158">
        <v>2574000</v>
      </c>
      <c r="AN109" s="158">
        <v>1168180</v>
      </c>
      <c r="AO109" s="158">
        <v>1168180</v>
      </c>
      <c r="AP109" s="158">
        <v>1168000</v>
      </c>
      <c r="AQ109" s="432">
        <v>0</v>
      </c>
      <c r="AR109" s="432">
        <v>0</v>
      </c>
      <c r="AS109" s="432">
        <v>0</v>
      </c>
      <c r="AT109" s="432">
        <v>0</v>
      </c>
      <c r="AU109" s="432">
        <v>0</v>
      </c>
      <c r="AV109" s="432">
        <v>0</v>
      </c>
      <c r="AW109" s="432">
        <v>0</v>
      </c>
      <c r="AX109" s="432">
        <v>0</v>
      </c>
      <c r="AY109" s="158">
        <v>0</v>
      </c>
      <c r="AZ109" s="158">
        <v>0</v>
      </c>
      <c r="BA109" s="158">
        <v>0</v>
      </c>
      <c r="BB109" s="158">
        <v>0</v>
      </c>
      <c r="BC109" s="158">
        <v>0</v>
      </c>
      <c r="BD109" s="158">
        <v>0</v>
      </c>
      <c r="BE109" s="158">
        <v>0</v>
      </c>
      <c r="BF109" s="160">
        <v>0</v>
      </c>
      <c r="BG109" s="383">
        <v>2023</v>
      </c>
      <c r="BH109" s="383">
        <v>3</v>
      </c>
      <c r="BI109" s="383">
        <v>9</v>
      </c>
      <c r="BK109" s="147" t="str">
        <f>IF(R109=SUM(Z109,AH109,AP109,AX109,BF109),"○","×")</f>
        <v>○</v>
      </c>
    </row>
    <row r="110" spans="1:63" x14ac:dyDescent="0.2">
      <c r="A110" s="428">
        <v>1138</v>
      </c>
      <c r="B110" s="429"/>
      <c r="C110" s="430"/>
      <c r="D110" s="429"/>
      <c r="E110" s="430"/>
      <c r="F110" s="429"/>
      <c r="G110" s="429"/>
      <c r="H110" s="430"/>
      <c r="I110" s="429"/>
      <c r="J110" s="429"/>
      <c r="K110" s="429"/>
      <c r="L110" s="383"/>
      <c r="M110" s="383" t="s">
        <v>396</v>
      </c>
      <c r="N110" s="383" t="s">
        <v>323</v>
      </c>
      <c r="O110" s="383" t="s">
        <v>393</v>
      </c>
      <c r="P110" s="383" t="s">
        <v>970</v>
      </c>
      <c r="Q110" s="383"/>
      <c r="R110" s="431">
        <v>1491000</v>
      </c>
      <c r="S110" s="158">
        <v>627000</v>
      </c>
      <c r="T110" s="158">
        <v>0</v>
      </c>
      <c r="U110" s="158">
        <v>627000</v>
      </c>
      <c r="V110" s="158">
        <v>627000</v>
      </c>
      <c r="W110" s="158">
        <v>905000</v>
      </c>
      <c r="X110" s="158">
        <v>627000</v>
      </c>
      <c r="Y110" s="158">
        <v>627000</v>
      </c>
      <c r="Z110" s="158">
        <v>627000</v>
      </c>
      <c r="AA110" s="432">
        <v>794200</v>
      </c>
      <c r="AB110" s="432">
        <v>0</v>
      </c>
      <c r="AC110" s="432">
        <v>794200</v>
      </c>
      <c r="AD110" s="432">
        <v>794200</v>
      </c>
      <c r="AE110" s="432">
        <v>820000</v>
      </c>
      <c r="AF110" s="432">
        <v>794200</v>
      </c>
      <c r="AG110" s="432">
        <v>794200</v>
      </c>
      <c r="AH110" s="432">
        <v>794000</v>
      </c>
      <c r="AI110" s="158">
        <v>70776</v>
      </c>
      <c r="AJ110" s="158">
        <v>0</v>
      </c>
      <c r="AK110" s="158">
        <v>70776</v>
      </c>
      <c r="AL110" s="158">
        <v>70776</v>
      </c>
      <c r="AM110" s="158">
        <v>2160000</v>
      </c>
      <c r="AN110" s="158">
        <v>70776</v>
      </c>
      <c r="AO110" s="158">
        <v>70776</v>
      </c>
      <c r="AP110" s="158">
        <v>70000</v>
      </c>
      <c r="AQ110" s="432">
        <v>0</v>
      </c>
      <c r="AR110" s="432">
        <v>0</v>
      </c>
      <c r="AS110" s="432">
        <v>0</v>
      </c>
      <c r="AT110" s="432">
        <v>0</v>
      </c>
      <c r="AU110" s="432">
        <v>0</v>
      </c>
      <c r="AV110" s="432">
        <v>0</v>
      </c>
      <c r="AW110" s="432">
        <v>0</v>
      </c>
      <c r="AX110" s="432">
        <v>0</v>
      </c>
      <c r="AY110" s="158">
        <v>0</v>
      </c>
      <c r="AZ110" s="158">
        <v>0</v>
      </c>
      <c r="BA110" s="158">
        <v>0</v>
      </c>
      <c r="BB110" s="158">
        <v>0</v>
      </c>
      <c r="BC110" s="158">
        <v>0</v>
      </c>
      <c r="BD110" s="158">
        <v>0</v>
      </c>
      <c r="BE110" s="158">
        <v>0</v>
      </c>
      <c r="BF110" s="160">
        <v>0</v>
      </c>
      <c r="BG110" s="383">
        <v>2023</v>
      </c>
      <c r="BH110" s="383">
        <v>3</v>
      </c>
      <c r="BI110" s="383">
        <v>9</v>
      </c>
      <c r="BK110" s="147" t="str">
        <f>IF(R110=SUM(Z110,AH110,AP110,AX110,BF110),"○","×")</f>
        <v>○</v>
      </c>
    </row>
    <row r="111" spans="1:63" x14ac:dyDescent="0.2">
      <c r="A111" s="428">
        <v>1139</v>
      </c>
      <c r="B111" s="429"/>
      <c r="C111" s="430"/>
      <c r="D111" s="429"/>
      <c r="E111" s="430"/>
      <c r="F111" s="429"/>
      <c r="G111" s="429"/>
      <c r="H111" s="430"/>
      <c r="I111" s="429"/>
      <c r="J111" s="429"/>
      <c r="K111" s="429"/>
      <c r="L111" s="383"/>
      <c r="M111" s="383" t="s">
        <v>451</v>
      </c>
      <c r="N111" s="383" t="s">
        <v>367</v>
      </c>
      <c r="O111" s="383" t="s">
        <v>375</v>
      </c>
      <c r="P111" s="383" t="s">
        <v>970</v>
      </c>
      <c r="Q111" s="383"/>
      <c r="R111" s="431">
        <v>431000</v>
      </c>
      <c r="S111" s="158">
        <v>0</v>
      </c>
      <c r="T111" s="158">
        <v>0</v>
      </c>
      <c r="U111" s="158">
        <v>0</v>
      </c>
      <c r="V111" s="158">
        <v>0</v>
      </c>
      <c r="W111" s="158">
        <v>0</v>
      </c>
      <c r="X111" s="158">
        <v>0</v>
      </c>
      <c r="Y111" s="158">
        <v>0</v>
      </c>
      <c r="Z111" s="158">
        <v>0</v>
      </c>
      <c r="AA111" s="432">
        <v>220000</v>
      </c>
      <c r="AB111" s="432">
        <v>0</v>
      </c>
      <c r="AC111" s="432">
        <v>220000</v>
      </c>
      <c r="AD111" s="432">
        <v>220000</v>
      </c>
      <c r="AE111" s="432">
        <v>205000</v>
      </c>
      <c r="AF111" s="432">
        <v>205000</v>
      </c>
      <c r="AG111" s="432">
        <v>205000</v>
      </c>
      <c r="AH111" s="432">
        <v>205000</v>
      </c>
      <c r="AI111" s="158">
        <v>175890</v>
      </c>
      <c r="AJ111" s="158">
        <v>0</v>
      </c>
      <c r="AK111" s="158">
        <v>175890</v>
      </c>
      <c r="AL111" s="158">
        <v>175890</v>
      </c>
      <c r="AM111" s="158">
        <v>518400</v>
      </c>
      <c r="AN111" s="158">
        <v>175890</v>
      </c>
      <c r="AO111" s="158">
        <v>175000</v>
      </c>
      <c r="AP111" s="158">
        <v>175000</v>
      </c>
      <c r="AQ111" s="432">
        <v>77000</v>
      </c>
      <c r="AR111" s="432">
        <v>0</v>
      </c>
      <c r="AS111" s="432">
        <v>77000</v>
      </c>
      <c r="AT111" s="432">
        <v>77000</v>
      </c>
      <c r="AU111" s="432">
        <v>51400</v>
      </c>
      <c r="AV111" s="432">
        <v>51400</v>
      </c>
      <c r="AW111" s="432">
        <v>51000</v>
      </c>
      <c r="AX111" s="432">
        <v>51000</v>
      </c>
      <c r="AY111" s="158">
        <v>0</v>
      </c>
      <c r="AZ111" s="158">
        <v>0</v>
      </c>
      <c r="BA111" s="158">
        <v>0</v>
      </c>
      <c r="BB111" s="158">
        <v>0</v>
      </c>
      <c r="BC111" s="158">
        <v>0</v>
      </c>
      <c r="BD111" s="158">
        <v>0</v>
      </c>
      <c r="BE111" s="158">
        <v>0</v>
      </c>
      <c r="BF111" s="160">
        <v>0</v>
      </c>
      <c r="BG111" s="383">
        <v>2023</v>
      </c>
      <c r="BH111" s="383">
        <v>3</v>
      </c>
      <c r="BI111" s="383">
        <v>9</v>
      </c>
      <c r="BK111" s="147" t="str">
        <f>IF(R111=SUM(Z111,AH111,AP111,AX111,BF111),"○","×")</f>
        <v>○</v>
      </c>
    </row>
    <row r="112" spans="1:63" x14ac:dyDescent="0.2">
      <c r="A112" s="428">
        <v>1301</v>
      </c>
      <c r="B112" s="429"/>
      <c r="C112" s="430"/>
      <c r="D112" s="429"/>
      <c r="E112" s="430"/>
      <c r="F112" s="429"/>
      <c r="G112" s="429"/>
      <c r="H112" s="430"/>
      <c r="I112" s="429"/>
      <c r="J112" s="429"/>
      <c r="K112" s="429"/>
      <c r="L112" s="383"/>
      <c r="M112" s="383" t="s">
        <v>533</v>
      </c>
      <c r="N112" s="383" t="s">
        <v>340</v>
      </c>
      <c r="O112" s="383" t="s">
        <v>534</v>
      </c>
      <c r="P112" s="383" t="s">
        <v>970</v>
      </c>
      <c r="Q112" s="383"/>
      <c r="R112" s="431">
        <v>92000</v>
      </c>
      <c r="S112" s="158">
        <v>0</v>
      </c>
      <c r="T112" s="158">
        <v>0</v>
      </c>
      <c r="U112" s="158">
        <v>0</v>
      </c>
      <c r="V112" s="158">
        <v>0</v>
      </c>
      <c r="W112" s="158">
        <v>0</v>
      </c>
      <c r="X112" s="158">
        <v>0</v>
      </c>
      <c r="Y112" s="158">
        <v>0</v>
      </c>
      <c r="Z112" s="158">
        <v>0</v>
      </c>
      <c r="AA112" s="432">
        <v>0</v>
      </c>
      <c r="AB112" s="432">
        <v>0</v>
      </c>
      <c r="AC112" s="432">
        <v>0</v>
      </c>
      <c r="AD112" s="432">
        <v>0</v>
      </c>
      <c r="AE112" s="432">
        <v>0</v>
      </c>
      <c r="AF112" s="432">
        <v>0</v>
      </c>
      <c r="AG112" s="432">
        <v>0</v>
      </c>
      <c r="AH112" s="432">
        <v>0</v>
      </c>
      <c r="AI112" s="158">
        <v>92561</v>
      </c>
      <c r="AJ112" s="158">
        <v>0</v>
      </c>
      <c r="AK112" s="158">
        <v>92561</v>
      </c>
      <c r="AL112" s="158">
        <v>92561</v>
      </c>
      <c r="AM112" s="158">
        <v>5623200</v>
      </c>
      <c r="AN112" s="158">
        <v>92561</v>
      </c>
      <c r="AO112" s="158">
        <v>92561</v>
      </c>
      <c r="AP112" s="158">
        <v>92000</v>
      </c>
      <c r="AQ112" s="432">
        <v>0</v>
      </c>
      <c r="AR112" s="432">
        <v>0</v>
      </c>
      <c r="AS112" s="432">
        <v>0</v>
      </c>
      <c r="AT112" s="432">
        <v>0</v>
      </c>
      <c r="AU112" s="432">
        <v>0</v>
      </c>
      <c r="AV112" s="432">
        <v>0</v>
      </c>
      <c r="AW112" s="432">
        <v>0</v>
      </c>
      <c r="AX112" s="432">
        <v>0</v>
      </c>
      <c r="AY112" s="158">
        <v>0</v>
      </c>
      <c r="AZ112" s="158">
        <v>0</v>
      </c>
      <c r="BA112" s="158">
        <v>0</v>
      </c>
      <c r="BB112" s="158">
        <v>0</v>
      </c>
      <c r="BC112" s="158">
        <v>0</v>
      </c>
      <c r="BD112" s="158">
        <v>0</v>
      </c>
      <c r="BE112" s="158">
        <v>0</v>
      </c>
      <c r="BF112" s="160">
        <v>0</v>
      </c>
      <c r="BG112" s="383">
        <v>2023</v>
      </c>
      <c r="BH112" s="383">
        <v>1</v>
      </c>
      <c r="BI112" s="383">
        <v>19</v>
      </c>
      <c r="BK112" s="147" t="str">
        <f>IF(R112=SUM(Z112,AH112,AP112,AX112,BF112),"○","×")</f>
        <v>○</v>
      </c>
    </row>
    <row r="113" spans="1:63" x14ac:dyDescent="0.2">
      <c r="A113" s="428">
        <v>1302</v>
      </c>
      <c r="B113" s="429"/>
      <c r="C113" s="430"/>
      <c r="D113" s="429"/>
      <c r="E113" s="430"/>
      <c r="F113" s="429"/>
      <c r="G113" s="429"/>
      <c r="H113" s="430"/>
      <c r="I113" s="429"/>
      <c r="J113" s="429"/>
      <c r="K113" s="429"/>
      <c r="L113" s="383"/>
      <c r="M113" s="383" t="s">
        <v>535</v>
      </c>
      <c r="N113" s="383" t="s">
        <v>340</v>
      </c>
      <c r="O113" s="383" t="s">
        <v>536</v>
      </c>
      <c r="P113" s="383" t="s">
        <v>970</v>
      </c>
      <c r="Q113" s="383"/>
      <c r="R113" s="431">
        <v>541000</v>
      </c>
      <c r="S113" s="158">
        <v>0</v>
      </c>
      <c r="T113" s="158">
        <v>0</v>
      </c>
      <c r="U113" s="158">
        <v>0</v>
      </c>
      <c r="V113" s="158">
        <v>0</v>
      </c>
      <c r="W113" s="158">
        <v>0</v>
      </c>
      <c r="X113" s="158">
        <v>0</v>
      </c>
      <c r="Y113" s="158">
        <v>0</v>
      </c>
      <c r="Z113" s="158">
        <v>0</v>
      </c>
      <c r="AA113" s="432">
        <v>0</v>
      </c>
      <c r="AB113" s="432">
        <v>0</v>
      </c>
      <c r="AC113" s="432">
        <v>0</v>
      </c>
      <c r="AD113" s="432">
        <v>0</v>
      </c>
      <c r="AE113" s="432">
        <v>0</v>
      </c>
      <c r="AF113" s="432">
        <v>0</v>
      </c>
      <c r="AG113" s="432">
        <v>0</v>
      </c>
      <c r="AH113" s="432">
        <v>0</v>
      </c>
      <c r="AI113" s="158">
        <v>541920</v>
      </c>
      <c r="AJ113" s="158">
        <v>0</v>
      </c>
      <c r="AK113" s="158">
        <v>541920</v>
      </c>
      <c r="AL113" s="158">
        <v>541920</v>
      </c>
      <c r="AM113" s="158">
        <v>5220000</v>
      </c>
      <c r="AN113" s="158">
        <v>541920</v>
      </c>
      <c r="AO113" s="158">
        <v>541920</v>
      </c>
      <c r="AP113" s="158">
        <v>541000</v>
      </c>
      <c r="AQ113" s="432">
        <v>0</v>
      </c>
      <c r="AR113" s="432">
        <v>0</v>
      </c>
      <c r="AS113" s="432">
        <v>0</v>
      </c>
      <c r="AT113" s="432">
        <v>0</v>
      </c>
      <c r="AU113" s="432">
        <v>0</v>
      </c>
      <c r="AV113" s="432">
        <v>0</v>
      </c>
      <c r="AW113" s="432">
        <v>0</v>
      </c>
      <c r="AX113" s="432">
        <v>0</v>
      </c>
      <c r="AY113" s="158">
        <v>0</v>
      </c>
      <c r="AZ113" s="158">
        <v>0</v>
      </c>
      <c r="BA113" s="158">
        <v>0</v>
      </c>
      <c r="BB113" s="158">
        <v>0</v>
      </c>
      <c r="BC113" s="158">
        <v>0</v>
      </c>
      <c r="BD113" s="158">
        <v>0</v>
      </c>
      <c r="BE113" s="158">
        <v>0</v>
      </c>
      <c r="BF113" s="160">
        <v>0</v>
      </c>
      <c r="BG113" s="383">
        <v>2023</v>
      </c>
      <c r="BH113" s="383">
        <v>1</v>
      </c>
      <c r="BI113" s="383">
        <v>19</v>
      </c>
      <c r="BK113" s="147" t="str">
        <f>IF(R113=SUM(Z113,AH113,AP113,AX113,BF113),"○","×")</f>
        <v>○</v>
      </c>
    </row>
    <row r="114" spans="1:63" x14ac:dyDescent="0.2">
      <c r="A114" s="428">
        <v>1303</v>
      </c>
      <c r="B114" s="429"/>
      <c r="C114" s="430"/>
      <c r="D114" s="429"/>
      <c r="E114" s="430"/>
      <c r="F114" s="429"/>
      <c r="G114" s="429"/>
      <c r="H114" s="430"/>
      <c r="I114" s="429"/>
      <c r="J114" s="429"/>
      <c r="K114" s="429"/>
      <c r="L114" s="383"/>
      <c r="M114" s="383" t="s">
        <v>501</v>
      </c>
      <c r="N114" s="383" t="s">
        <v>353</v>
      </c>
      <c r="O114" s="383" t="s">
        <v>502</v>
      </c>
      <c r="P114" s="383" t="s">
        <v>970</v>
      </c>
      <c r="Q114" s="383"/>
      <c r="R114" s="431">
        <v>950000</v>
      </c>
      <c r="S114" s="158">
        <v>0</v>
      </c>
      <c r="T114" s="158">
        <v>0</v>
      </c>
      <c r="U114" s="158">
        <v>0</v>
      </c>
      <c r="V114" s="158">
        <v>0</v>
      </c>
      <c r="W114" s="158">
        <v>0</v>
      </c>
      <c r="X114" s="158">
        <v>0</v>
      </c>
      <c r="Y114" s="158">
        <v>0</v>
      </c>
      <c r="Z114" s="158">
        <v>0</v>
      </c>
      <c r="AA114" s="432">
        <v>0</v>
      </c>
      <c r="AB114" s="432">
        <v>0</v>
      </c>
      <c r="AC114" s="432">
        <v>0</v>
      </c>
      <c r="AD114" s="432">
        <v>0</v>
      </c>
      <c r="AE114" s="432">
        <v>0</v>
      </c>
      <c r="AF114" s="432">
        <v>0</v>
      </c>
      <c r="AG114" s="432">
        <v>0</v>
      </c>
      <c r="AH114" s="432">
        <v>0</v>
      </c>
      <c r="AI114" s="158">
        <v>950580</v>
      </c>
      <c r="AJ114" s="158">
        <v>0</v>
      </c>
      <c r="AK114" s="158">
        <v>950580</v>
      </c>
      <c r="AL114" s="158">
        <v>950580</v>
      </c>
      <c r="AM114" s="158">
        <v>2001600</v>
      </c>
      <c r="AN114" s="158">
        <v>950580</v>
      </c>
      <c r="AO114" s="158">
        <v>950580</v>
      </c>
      <c r="AP114" s="158">
        <v>950000</v>
      </c>
      <c r="AQ114" s="432">
        <v>0</v>
      </c>
      <c r="AR114" s="432">
        <v>0</v>
      </c>
      <c r="AS114" s="432">
        <v>0</v>
      </c>
      <c r="AT114" s="432">
        <v>0</v>
      </c>
      <c r="AU114" s="432">
        <v>0</v>
      </c>
      <c r="AV114" s="432">
        <v>0</v>
      </c>
      <c r="AW114" s="432">
        <v>0</v>
      </c>
      <c r="AX114" s="432">
        <v>0</v>
      </c>
      <c r="AY114" s="158">
        <v>0</v>
      </c>
      <c r="AZ114" s="158">
        <v>0</v>
      </c>
      <c r="BA114" s="158">
        <v>0</v>
      </c>
      <c r="BB114" s="158">
        <v>0</v>
      </c>
      <c r="BC114" s="158">
        <v>0</v>
      </c>
      <c r="BD114" s="158">
        <v>0</v>
      </c>
      <c r="BE114" s="158">
        <v>0</v>
      </c>
      <c r="BF114" s="160">
        <v>0</v>
      </c>
      <c r="BG114" s="383">
        <v>2023</v>
      </c>
      <c r="BH114" s="383">
        <v>1</v>
      </c>
      <c r="BI114" s="383">
        <v>19</v>
      </c>
      <c r="BK114" s="147" t="str">
        <f>IF(R114=SUM(Z114,AH114,AP114,AX114,BF114),"○","×")</f>
        <v>○</v>
      </c>
    </row>
    <row r="115" spans="1:63" x14ac:dyDescent="0.2">
      <c r="A115" s="428">
        <v>1304</v>
      </c>
      <c r="B115" s="429"/>
      <c r="C115" s="430"/>
      <c r="D115" s="429"/>
      <c r="E115" s="430"/>
      <c r="F115" s="429"/>
      <c r="G115" s="429"/>
      <c r="H115" s="430"/>
      <c r="I115" s="429"/>
      <c r="J115" s="429"/>
      <c r="K115" s="429"/>
      <c r="L115" s="383"/>
      <c r="M115" s="383" t="s">
        <v>537</v>
      </c>
      <c r="N115" s="383" t="s">
        <v>323</v>
      </c>
      <c r="O115" s="383" t="s">
        <v>387</v>
      </c>
      <c r="P115" s="383" t="s">
        <v>970</v>
      </c>
      <c r="Q115" s="383"/>
      <c r="R115" s="431">
        <v>47000</v>
      </c>
      <c r="S115" s="158">
        <v>0</v>
      </c>
      <c r="T115" s="158">
        <v>0</v>
      </c>
      <c r="U115" s="158">
        <v>0</v>
      </c>
      <c r="V115" s="158">
        <v>0</v>
      </c>
      <c r="W115" s="158">
        <v>0</v>
      </c>
      <c r="X115" s="158">
        <v>0</v>
      </c>
      <c r="Y115" s="158">
        <v>0</v>
      </c>
      <c r="Z115" s="158">
        <v>0</v>
      </c>
      <c r="AA115" s="432">
        <v>0</v>
      </c>
      <c r="AB115" s="432">
        <v>0</v>
      </c>
      <c r="AC115" s="432">
        <v>0</v>
      </c>
      <c r="AD115" s="432">
        <v>0</v>
      </c>
      <c r="AE115" s="432">
        <v>0</v>
      </c>
      <c r="AF115" s="432">
        <v>0</v>
      </c>
      <c r="AG115" s="432">
        <v>0</v>
      </c>
      <c r="AH115" s="432">
        <v>0</v>
      </c>
      <c r="AI115" s="158">
        <v>47320</v>
      </c>
      <c r="AJ115" s="158">
        <v>0</v>
      </c>
      <c r="AK115" s="158">
        <v>47320</v>
      </c>
      <c r="AL115" s="158">
        <v>47320</v>
      </c>
      <c r="AM115" s="158">
        <v>2059200</v>
      </c>
      <c r="AN115" s="158">
        <v>47320</v>
      </c>
      <c r="AO115" s="158">
        <v>47320</v>
      </c>
      <c r="AP115" s="158">
        <v>47000</v>
      </c>
      <c r="AQ115" s="432">
        <v>0</v>
      </c>
      <c r="AR115" s="432">
        <v>0</v>
      </c>
      <c r="AS115" s="432">
        <v>0</v>
      </c>
      <c r="AT115" s="432">
        <v>0</v>
      </c>
      <c r="AU115" s="432">
        <v>0</v>
      </c>
      <c r="AV115" s="432">
        <v>0</v>
      </c>
      <c r="AW115" s="432">
        <v>0</v>
      </c>
      <c r="AX115" s="432">
        <v>0</v>
      </c>
      <c r="AY115" s="158">
        <v>0</v>
      </c>
      <c r="AZ115" s="158">
        <v>0</v>
      </c>
      <c r="BA115" s="158">
        <v>0</v>
      </c>
      <c r="BB115" s="158">
        <v>0</v>
      </c>
      <c r="BC115" s="158">
        <v>0</v>
      </c>
      <c r="BD115" s="158">
        <v>0</v>
      </c>
      <c r="BE115" s="158">
        <v>0</v>
      </c>
      <c r="BF115" s="160">
        <v>0</v>
      </c>
      <c r="BG115" s="383">
        <v>2023</v>
      </c>
      <c r="BH115" s="383">
        <v>1</v>
      </c>
      <c r="BI115" s="383">
        <v>19</v>
      </c>
      <c r="BK115" s="147" t="str">
        <f>IF(R115=SUM(Z115,AH115,AP115,AX115,BF115),"○","×")</f>
        <v>○</v>
      </c>
    </row>
    <row r="116" spans="1:63" s="152" customFormat="1" x14ac:dyDescent="0.2">
      <c r="A116" s="428">
        <v>1305</v>
      </c>
      <c r="B116" s="429"/>
      <c r="C116" s="430"/>
      <c r="D116" s="429"/>
      <c r="E116" s="430"/>
      <c r="F116" s="429"/>
      <c r="G116" s="429"/>
      <c r="H116" s="430"/>
      <c r="I116" s="429"/>
      <c r="J116" s="429"/>
      <c r="K116" s="429"/>
      <c r="L116" s="383"/>
      <c r="M116" s="383" t="s">
        <v>529</v>
      </c>
      <c r="N116" s="383" t="s">
        <v>329</v>
      </c>
      <c r="O116" s="383" t="s">
        <v>530</v>
      </c>
      <c r="P116" s="383" t="s">
        <v>970</v>
      </c>
      <c r="Q116" s="383"/>
      <c r="R116" s="431">
        <v>819000</v>
      </c>
      <c r="S116" s="158">
        <v>0</v>
      </c>
      <c r="T116" s="158">
        <v>0</v>
      </c>
      <c r="U116" s="158">
        <v>0</v>
      </c>
      <c r="V116" s="158">
        <v>0</v>
      </c>
      <c r="W116" s="158">
        <v>0</v>
      </c>
      <c r="X116" s="158">
        <v>0</v>
      </c>
      <c r="Y116" s="158">
        <v>0</v>
      </c>
      <c r="Z116" s="158">
        <v>0</v>
      </c>
      <c r="AA116" s="432">
        <v>0</v>
      </c>
      <c r="AB116" s="432">
        <v>0</v>
      </c>
      <c r="AC116" s="432">
        <v>0</v>
      </c>
      <c r="AD116" s="432">
        <v>0</v>
      </c>
      <c r="AE116" s="432">
        <v>0</v>
      </c>
      <c r="AF116" s="432">
        <v>0</v>
      </c>
      <c r="AG116" s="432">
        <v>0</v>
      </c>
      <c r="AH116" s="432">
        <v>0</v>
      </c>
      <c r="AI116" s="158">
        <v>819940</v>
      </c>
      <c r="AJ116" s="158">
        <v>0</v>
      </c>
      <c r="AK116" s="158">
        <v>819940</v>
      </c>
      <c r="AL116" s="158">
        <v>819940</v>
      </c>
      <c r="AM116" s="158">
        <v>725904000</v>
      </c>
      <c r="AN116" s="158">
        <v>819940</v>
      </c>
      <c r="AO116" s="158">
        <v>819940</v>
      </c>
      <c r="AP116" s="158">
        <v>819000</v>
      </c>
      <c r="AQ116" s="432">
        <v>0</v>
      </c>
      <c r="AR116" s="432">
        <v>0</v>
      </c>
      <c r="AS116" s="432">
        <v>0</v>
      </c>
      <c r="AT116" s="432">
        <v>0</v>
      </c>
      <c r="AU116" s="432">
        <v>0</v>
      </c>
      <c r="AV116" s="432">
        <v>0</v>
      </c>
      <c r="AW116" s="432">
        <v>0</v>
      </c>
      <c r="AX116" s="432">
        <v>0</v>
      </c>
      <c r="AY116" s="158">
        <v>0</v>
      </c>
      <c r="AZ116" s="158">
        <v>0</v>
      </c>
      <c r="BA116" s="158">
        <v>0</v>
      </c>
      <c r="BB116" s="158">
        <v>0</v>
      </c>
      <c r="BC116" s="158">
        <v>0</v>
      </c>
      <c r="BD116" s="158">
        <v>0</v>
      </c>
      <c r="BE116" s="158">
        <v>0</v>
      </c>
      <c r="BF116" s="160">
        <v>0</v>
      </c>
      <c r="BG116" s="383">
        <v>2023</v>
      </c>
      <c r="BH116" s="383">
        <v>1</v>
      </c>
      <c r="BI116" s="383">
        <v>19</v>
      </c>
      <c r="BJ116" s="148"/>
      <c r="BK116" s="147" t="str">
        <f>IF(R116=SUM(Z116,AH116,AP116,AX116,BF116),"○","×")</f>
        <v>○</v>
      </c>
    </row>
    <row r="117" spans="1:63" s="152" customFormat="1" x14ac:dyDescent="0.2">
      <c r="A117" s="428">
        <v>1306</v>
      </c>
      <c r="B117" s="429"/>
      <c r="C117" s="430"/>
      <c r="D117" s="429"/>
      <c r="E117" s="430"/>
      <c r="F117" s="429"/>
      <c r="G117" s="429"/>
      <c r="H117" s="430"/>
      <c r="I117" s="429"/>
      <c r="J117" s="429"/>
      <c r="K117" s="429"/>
      <c r="L117" s="383"/>
      <c r="M117" s="383" t="s">
        <v>538</v>
      </c>
      <c r="N117" s="383" t="s">
        <v>483</v>
      </c>
      <c r="O117" s="383" t="s">
        <v>368</v>
      </c>
      <c r="P117" s="383" t="s">
        <v>970</v>
      </c>
      <c r="Q117" s="383"/>
      <c r="R117" s="431">
        <v>996000</v>
      </c>
      <c r="S117" s="158">
        <v>0</v>
      </c>
      <c r="T117" s="158">
        <v>0</v>
      </c>
      <c r="U117" s="158">
        <v>0</v>
      </c>
      <c r="V117" s="158">
        <v>0</v>
      </c>
      <c r="W117" s="158">
        <v>0</v>
      </c>
      <c r="X117" s="158">
        <v>0</v>
      </c>
      <c r="Y117" s="158">
        <v>0</v>
      </c>
      <c r="Z117" s="158">
        <v>0</v>
      </c>
      <c r="AA117" s="432">
        <v>0</v>
      </c>
      <c r="AB117" s="432">
        <v>0</v>
      </c>
      <c r="AC117" s="432">
        <v>0</v>
      </c>
      <c r="AD117" s="432">
        <v>0</v>
      </c>
      <c r="AE117" s="432">
        <v>0</v>
      </c>
      <c r="AF117" s="432">
        <v>0</v>
      </c>
      <c r="AG117" s="432">
        <v>0</v>
      </c>
      <c r="AH117" s="432">
        <v>0</v>
      </c>
      <c r="AI117" s="158">
        <v>996924</v>
      </c>
      <c r="AJ117" s="158">
        <v>0</v>
      </c>
      <c r="AK117" s="158">
        <v>996924</v>
      </c>
      <c r="AL117" s="158">
        <v>996924</v>
      </c>
      <c r="AM117" s="158">
        <v>1036800</v>
      </c>
      <c r="AN117" s="158">
        <v>996924</v>
      </c>
      <c r="AO117" s="158">
        <v>996924</v>
      </c>
      <c r="AP117" s="158">
        <v>996000</v>
      </c>
      <c r="AQ117" s="432">
        <v>0</v>
      </c>
      <c r="AR117" s="432">
        <v>0</v>
      </c>
      <c r="AS117" s="432">
        <v>0</v>
      </c>
      <c r="AT117" s="432">
        <v>0</v>
      </c>
      <c r="AU117" s="432">
        <v>0</v>
      </c>
      <c r="AV117" s="432">
        <v>0</v>
      </c>
      <c r="AW117" s="432">
        <v>0</v>
      </c>
      <c r="AX117" s="432">
        <v>0</v>
      </c>
      <c r="AY117" s="158">
        <v>0</v>
      </c>
      <c r="AZ117" s="158">
        <v>0</v>
      </c>
      <c r="BA117" s="158">
        <v>0</v>
      </c>
      <c r="BB117" s="158">
        <v>0</v>
      </c>
      <c r="BC117" s="158">
        <v>0</v>
      </c>
      <c r="BD117" s="158">
        <v>0</v>
      </c>
      <c r="BE117" s="158">
        <v>0</v>
      </c>
      <c r="BF117" s="160">
        <v>0</v>
      </c>
      <c r="BG117" s="383">
        <v>2023</v>
      </c>
      <c r="BH117" s="383">
        <v>1</v>
      </c>
      <c r="BI117" s="383">
        <v>19</v>
      </c>
      <c r="BK117" s="147" t="str">
        <f>IF(R117=SUM(Z117,AH117,AP117,AX117,BF117),"○","×")</f>
        <v>○</v>
      </c>
    </row>
    <row r="118" spans="1:63" x14ac:dyDescent="0.2">
      <c r="A118" s="428">
        <v>1307</v>
      </c>
      <c r="B118" s="429"/>
      <c r="C118" s="430"/>
      <c r="D118" s="429"/>
      <c r="E118" s="430"/>
      <c r="F118" s="429"/>
      <c r="G118" s="429"/>
      <c r="H118" s="430"/>
      <c r="I118" s="429"/>
      <c r="J118" s="429"/>
      <c r="K118" s="429"/>
      <c r="L118" s="383"/>
      <c r="M118" s="383" t="s">
        <v>539</v>
      </c>
      <c r="N118" s="383" t="s">
        <v>470</v>
      </c>
      <c r="O118" s="383" t="s">
        <v>540</v>
      </c>
      <c r="P118" s="383" t="s">
        <v>970</v>
      </c>
      <c r="Q118" s="383"/>
      <c r="R118" s="431">
        <v>154000</v>
      </c>
      <c r="S118" s="158">
        <v>0</v>
      </c>
      <c r="T118" s="158">
        <v>0</v>
      </c>
      <c r="U118" s="158">
        <v>0</v>
      </c>
      <c r="V118" s="158">
        <v>0</v>
      </c>
      <c r="W118" s="158">
        <v>0</v>
      </c>
      <c r="X118" s="158">
        <v>0</v>
      </c>
      <c r="Y118" s="158">
        <v>0</v>
      </c>
      <c r="Z118" s="158">
        <v>0</v>
      </c>
      <c r="AA118" s="432">
        <v>0</v>
      </c>
      <c r="AB118" s="432">
        <v>0</v>
      </c>
      <c r="AC118" s="432">
        <v>0</v>
      </c>
      <c r="AD118" s="432">
        <v>0</v>
      </c>
      <c r="AE118" s="432">
        <v>0</v>
      </c>
      <c r="AF118" s="432">
        <v>0</v>
      </c>
      <c r="AG118" s="432">
        <v>0</v>
      </c>
      <c r="AH118" s="432">
        <v>0</v>
      </c>
      <c r="AI118" s="158">
        <v>154770</v>
      </c>
      <c r="AJ118" s="158">
        <v>0</v>
      </c>
      <c r="AK118" s="158">
        <v>154770</v>
      </c>
      <c r="AL118" s="158">
        <v>154770</v>
      </c>
      <c r="AM118" s="158">
        <v>2340000</v>
      </c>
      <c r="AN118" s="158">
        <v>154770</v>
      </c>
      <c r="AO118" s="158">
        <v>154770</v>
      </c>
      <c r="AP118" s="158">
        <v>154000</v>
      </c>
      <c r="AQ118" s="432">
        <v>0</v>
      </c>
      <c r="AR118" s="432">
        <v>0</v>
      </c>
      <c r="AS118" s="432">
        <v>0</v>
      </c>
      <c r="AT118" s="432">
        <v>0</v>
      </c>
      <c r="AU118" s="432">
        <v>0</v>
      </c>
      <c r="AV118" s="432">
        <v>0</v>
      </c>
      <c r="AW118" s="432">
        <v>0</v>
      </c>
      <c r="AX118" s="432">
        <v>0</v>
      </c>
      <c r="AY118" s="158">
        <v>0</v>
      </c>
      <c r="AZ118" s="158">
        <v>0</v>
      </c>
      <c r="BA118" s="158">
        <v>0</v>
      </c>
      <c r="BB118" s="158">
        <v>0</v>
      </c>
      <c r="BC118" s="158">
        <v>0</v>
      </c>
      <c r="BD118" s="158">
        <v>0</v>
      </c>
      <c r="BE118" s="158">
        <v>0</v>
      </c>
      <c r="BF118" s="160">
        <v>0</v>
      </c>
      <c r="BG118" s="383">
        <v>2023</v>
      </c>
      <c r="BH118" s="383">
        <v>1</v>
      </c>
      <c r="BI118" s="383">
        <v>19</v>
      </c>
      <c r="BJ118" s="152"/>
      <c r="BK118" s="147" t="str">
        <f>IF(R118=SUM(Z118,AH118,AP118,AX118,BF118),"○","×")</f>
        <v>○</v>
      </c>
    </row>
    <row r="119" spans="1:63" x14ac:dyDescent="0.2">
      <c r="A119" s="428">
        <v>1308</v>
      </c>
      <c r="B119" s="429"/>
      <c r="C119" s="430"/>
      <c r="D119" s="429"/>
      <c r="E119" s="430"/>
      <c r="F119" s="429"/>
      <c r="G119" s="429"/>
      <c r="H119" s="430"/>
      <c r="I119" s="429"/>
      <c r="J119" s="429"/>
      <c r="K119" s="429"/>
      <c r="L119" s="383"/>
      <c r="M119" s="383" t="s">
        <v>524</v>
      </c>
      <c r="N119" s="383" t="s">
        <v>367</v>
      </c>
      <c r="O119" s="383" t="s">
        <v>525</v>
      </c>
      <c r="P119" s="383" t="s">
        <v>970</v>
      </c>
      <c r="Q119" s="383"/>
      <c r="R119" s="431">
        <v>880000</v>
      </c>
      <c r="S119" s="158">
        <v>0</v>
      </c>
      <c r="T119" s="158">
        <v>0</v>
      </c>
      <c r="U119" s="158">
        <v>0</v>
      </c>
      <c r="V119" s="158">
        <v>0</v>
      </c>
      <c r="W119" s="158">
        <v>0</v>
      </c>
      <c r="X119" s="158">
        <v>0</v>
      </c>
      <c r="Y119" s="158">
        <v>0</v>
      </c>
      <c r="Z119" s="158">
        <v>0</v>
      </c>
      <c r="AA119" s="432">
        <v>0</v>
      </c>
      <c r="AB119" s="432">
        <v>0</v>
      </c>
      <c r="AC119" s="432">
        <v>0</v>
      </c>
      <c r="AD119" s="432">
        <v>0</v>
      </c>
      <c r="AE119" s="432">
        <v>0</v>
      </c>
      <c r="AF119" s="432">
        <v>0</v>
      </c>
      <c r="AG119" s="432">
        <v>0</v>
      </c>
      <c r="AH119" s="432">
        <v>0</v>
      </c>
      <c r="AI119" s="158">
        <v>880000</v>
      </c>
      <c r="AJ119" s="158">
        <v>0</v>
      </c>
      <c r="AK119" s="158">
        <v>880000</v>
      </c>
      <c r="AL119" s="158">
        <v>880000</v>
      </c>
      <c r="AM119" s="158">
        <v>1296000</v>
      </c>
      <c r="AN119" s="158">
        <v>880000</v>
      </c>
      <c r="AO119" s="158">
        <v>880000</v>
      </c>
      <c r="AP119" s="158">
        <v>880000</v>
      </c>
      <c r="AQ119" s="432">
        <v>0</v>
      </c>
      <c r="AR119" s="432">
        <v>0</v>
      </c>
      <c r="AS119" s="432">
        <v>0</v>
      </c>
      <c r="AT119" s="432">
        <v>0</v>
      </c>
      <c r="AU119" s="432">
        <v>0</v>
      </c>
      <c r="AV119" s="432">
        <v>0</v>
      </c>
      <c r="AW119" s="432">
        <v>0</v>
      </c>
      <c r="AX119" s="432">
        <v>0</v>
      </c>
      <c r="AY119" s="158">
        <v>0</v>
      </c>
      <c r="AZ119" s="158">
        <v>0</v>
      </c>
      <c r="BA119" s="158">
        <v>0</v>
      </c>
      <c r="BB119" s="158">
        <v>0</v>
      </c>
      <c r="BC119" s="158">
        <v>0</v>
      </c>
      <c r="BD119" s="158">
        <v>0</v>
      </c>
      <c r="BE119" s="158">
        <v>0</v>
      </c>
      <c r="BF119" s="160">
        <v>0</v>
      </c>
      <c r="BG119" s="383">
        <v>2023</v>
      </c>
      <c r="BH119" s="383">
        <v>1</v>
      </c>
      <c r="BI119" s="383">
        <v>19</v>
      </c>
      <c r="BK119" s="147" t="str">
        <f>IF(R119=SUM(Z119,AH119,AP119,AX119,BF119),"○","×")</f>
        <v>○</v>
      </c>
    </row>
    <row r="120" spans="1:63" x14ac:dyDescent="0.2">
      <c r="A120" s="428">
        <v>1309</v>
      </c>
      <c r="B120" s="429"/>
      <c r="C120" s="430"/>
      <c r="D120" s="429"/>
      <c r="E120" s="430"/>
      <c r="F120" s="429"/>
      <c r="G120" s="429"/>
      <c r="H120" s="430"/>
      <c r="I120" s="429"/>
      <c r="J120" s="429"/>
      <c r="K120" s="429"/>
      <c r="L120" s="383"/>
      <c r="M120" s="383" t="s">
        <v>541</v>
      </c>
      <c r="N120" s="383" t="s">
        <v>408</v>
      </c>
      <c r="O120" s="383" t="s">
        <v>375</v>
      </c>
      <c r="P120" s="383" t="s">
        <v>970</v>
      </c>
      <c r="Q120" s="383"/>
      <c r="R120" s="431">
        <v>412000</v>
      </c>
      <c r="S120" s="158">
        <v>0</v>
      </c>
      <c r="T120" s="158">
        <v>0</v>
      </c>
      <c r="U120" s="158">
        <v>0</v>
      </c>
      <c r="V120" s="158">
        <v>0</v>
      </c>
      <c r="W120" s="158">
        <v>0</v>
      </c>
      <c r="X120" s="158">
        <v>0</v>
      </c>
      <c r="Y120" s="158">
        <v>0</v>
      </c>
      <c r="Z120" s="158">
        <v>0</v>
      </c>
      <c r="AA120" s="432">
        <v>0</v>
      </c>
      <c r="AB120" s="432">
        <v>0</v>
      </c>
      <c r="AC120" s="432">
        <v>0</v>
      </c>
      <c r="AD120" s="432">
        <v>0</v>
      </c>
      <c r="AE120" s="432">
        <v>0</v>
      </c>
      <c r="AF120" s="432">
        <v>0</v>
      </c>
      <c r="AG120" s="432">
        <v>0</v>
      </c>
      <c r="AH120" s="432">
        <v>0</v>
      </c>
      <c r="AI120" s="158">
        <v>412230</v>
      </c>
      <c r="AJ120" s="158">
        <v>0</v>
      </c>
      <c r="AK120" s="158">
        <v>412230</v>
      </c>
      <c r="AL120" s="158">
        <v>412230</v>
      </c>
      <c r="AM120" s="158">
        <v>3931200</v>
      </c>
      <c r="AN120" s="158">
        <v>412230</v>
      </c>
      <c r="AO120" s="158">
        <v>412230</v>
      </c>
      <c r="AP120" s="158">
        <v>412000</v>
      </c>
      <c r="AQ120" s="432">
        <v>0</v>
      </c>
      <c r="AR120" s="432">
        <v>0</v>
      </c>
      <c r="AS120" s="432">
        <v>0</v>
      </c>
      <c r="AT120" s="432">
        <v>0</v>
      </c>
      <c r="AU120" s="432">
        <v>0</v>
      </c>
      <c r="AV120" s="432">
        <v>0</v>
      </c>
      <c r="AW120" s="432">
        <v>0</v>
      </c>
      <c r="AX120" s="432">
        <v>0</v>
      </c>
      <c r="AY120" s="158">
        <v>0</v>
      </c>
      <c r="AZ120" s="158">
        <v>0</v>
      </c>
      <c r="BA120" s="158">
        <v>0</v>
      </c>
      <c r="BB120" s="158">
        <v>0</v>
      </c>
      <c r="BC120" s="158">
        <v>0</v>
      </c>
      <c r="BD120" s="158">
        <v>0</v>
      </c>
      <c r="BE120" s="158">
        <v>0</v>
      </c>
      <c r="BF120" s="160">
        <v>0</v>
      </c>
      <c r="BG120" s="383">
        <v>2023</v>
      </c>
      <c r="BH120" s="383">
        <v>1</v>
      </c>
      <c r="BI120" s="383">
        <v>19</v>
      </c>
      <c r="BK120" s="147" t="str">
        <f>IF(R120=SUM(Z120,AH120,AP120,AX120,BF120),"○","×")</f>
        <v>○</v>
      </c>
    </row>
    <row r="121" spans="1:63" s="152" customFormat="1" x14ac:dyDescent="0.2">
      <c r="A121" s="428">
        <v>1310</v>
      </c>
      <c r="B121" s="429"/>
      <c r="C121" s="430"/>
      <c r="D121" s="429"/>
      <c r="E121" s="430"/>
      <c r="F121" s="429"/>
      <c r="G121" s="429"/>
      <c r="H121" s="430"/>
      <c r="I121" s="429"/>
      <c r="J121" s="429"/>
      <c r="K121" s="429"/>
      <c r="L121" s="383"/>
      <c r="M121" s="383" t="s">
        <v>426</v>
      </c>
      <c r="N121" s="383" t="s">
        <v>427</v>
      </c>
      <c r="O121" s="383" t="s">
        <v>428</v>
      </c>
      <c r="P121" s="383" t="s">
        <v>970</v>
      </c>
      <c r="Q121" s="383"/>
      <c r="R121" s="431">
        <v>42000</v>
      </c>
      <c r="S121" s="158">
        <v>0</v>
      </c>
      <c r="T121" s="158">
        <v>0</v>
      </c>
      <c r="U121" s="158">
        <v>0</v>
      </c>
      <c r="V121" s="158">
        <v>0</v>
      </c>
      <c r="W121" s="158">
        <v>0</v>
      </c>
      <c r="X121" s="158">
        <v>0</v>
      </c>
      <c r="Y121" s="158">
        <v>0</v>
      </c>
      <c r="Z121" s="158">
        <v>0</v>
      </c>
      <c r="AA121" s="432">
        <v>0</v>
      </c>
      <c r="AB121" s="432">
        <v>0</v>
      </c>
      <c r="AC121" s="432">
        <v>0</v>
      </c>
      <c r="AD121" s="432">
        <v>0</v>
      </c>
      <c r="AE121" s="432">
        <v>0</v>
      </c>
      <c r="AF121" s="432">
        <v>0</v>
      </c>
      <c r="AG121" s="432">
        <v>0</v>
      </c>
      <c r="AH121" s="432">
        <v>0</v>
      </c>
      <c r="AI121" s="158">
        <v>42350</v>
      </c>
      <c r="AJ121" s="158">
        <v>0</v>
      </c>
      <c r="AK121" s="158">
        <v>42350</v>
      </c>
      <c r="AL121" s="158">
        <v>42350</v>
      </c>
      <c r="AM121" s="158">
        <v>734400</v>
      </c>
      <c r="AN121" s="158">
        <v>42350</v>
      </c>
      <c r="AO121" s="158">
        <v>42350</v>
      </c>
      <c r="AP121" s="158">
        <v>42000</v>
      </c>
      <c r="AQ121" s="432">
        <v>0</v>
      </c>
      <c r="AR121" s="432">
        <v>0</v>
      </c>
      <c r="AS121" s="432">
        <v>0</v>
      </c>
      <c r="AT121" s="432">
        <v>0</v>
      </c>
      <c r="AU121" s="432">
        <v>0</v>
      </c>
      <c r="AV121" s="432">
        <v>0</v>
      </c>
      <c r="AW121" s="432">
        <v>0</v>
      </c>
      <c r="AX121" s="432">
        <v>0</v>
      </c>
      <c r="AY121" s="158">
        <v>0</v>
      </c>
      <c r="AZ121" s="158">
        <v>0</v>
      </c>
      <c r="BA121" s="158">
        <v>0</v>
      </c>
      <c r="BB121" s="158">
        <v>0</v>
      </c>
      <c r="BC121" s="158">
        <v>0</v>
      </c>
      <c r="BD121" s="158">
        <v>0</v>
      </c>
      <c r="BE121" s="158">
        <v>0</v>
      </c>
      <c r="BF121" s="160">
        <v>0</v>
      </c>
      <c r="BG121" s="383">
        <v>2023</v>
      </c>
      <c r="BH121" s="383">
        <v>1</v>
      </c>
      <c r="BI121" s="383">
        <v>19</v>
      </c>
      <c r="BJ121" s="148"/>
      <c r="BK121" s="147" t="str">
        <f>IF(R121=SUM(Z121,AH121,AP121,AX121,BF121),"○","×")</f>
        <v>○</v>
      </c>
    </row>
    <row r="122" spans="1:63" x14ac:dyDescent="0.2">
      <c r="A122" s="428">
        <v>1311</v>
      </c>
      <c r="B122" s="429"/>
      <c r="C122" s="430"/>
      <c r="D122" s="429"/>
      <c r="E122" s="430"/>
      <c r="F122" s="429"/>
      <c r="G122" s="429"/>
      <c r="H122" s="430"/>
      <c r="I122" s="429"/>
      <c r="J122" s="429"/>
      <c r="K122" s="429"/>
      <c r="L122" s="383"/>
      <c r="M122" s="383" t="s">
        <v>542</v>
      </c>
      <c r="N122" s="383" t="s">
        <v>543</v>
      </c>
      <c r="O122" s="383" t="s">
        <v>333</v>
      </c>
      <c r="P122" s="383" t="s">
        <v>970</v>
      </c>
      <c r="Q122" s="383"/>
      <c r="R122" s="431">
        <v>1418000</v>
      </c>
      <c r="S122" s="158">
        <v>0</v>
      </c>
      <c r="T122" s="158">
        <v>0</v>
      </c>
      <c r="U122" s="158">
        <v>0</v>
      </c>
      <c r="V122" s="158">
        <v>0</v>
      </c>
      <c r="W122" s="158">
        <v>0</v>
      </c>
      <c r="X122" s="158">
        <v>0</v>
      </c>
      <c r="Y122" s="158">
        <v>0</v>
      </c>
      <c r="Z122" s="158">
        <v>0</v>
      </c>
      <c r="AA122" s="432">
        <v>0</v>
      </c>
      <c r="AB122" s="432">
        <v>0</v>
      </c>
      <c r="AC122" s="432">
        <v>0</v>
      </c>
      <c r="AD122" s="432">
        <v>0</v>
      </c>
      <c r="AE122" s="432">
        <v>0</v>
      </c>
      <c r="AF122" s="432">
        <v>0</v>
      </c>
      <c r="AG122" s="432">
        <v>0</v>
      </c>
      <c r="AH122" s="432">
        <v>0</v>
      </c>
      <c r="AI122" s="158">
        <v>1418675</v>
      </c>
      <c r="AJ122" s="158">
        <v>0</v>
      </c>
      <c r="AK122" s="158">
        <v>1418675</v>
      </c>
      <c r="AL122" s="158">
        <v>1418675</v>
      </c>
      <c r="AM122" s="158">
        <v>3024000</v>
      </c>
      <c r="AN122" s="158">
        <v>1418675</v>
      </c>
      <c r="AO122" s="158">
        <v>1418675</v>
      </c>
      <c r="AP122" s="158">
        <v>1418000</v>
      </c>
      <c r="AQ122" s="432">
        <v>0</v>
      </c>
      <c r="AR122" s="432">
        <v>0</v>
      </c>
      <c r="AS122" s="432">
        <v>0</v>
      </c>
      <c r="AT122" s="432">
        <v>0</v>
      </c>
      <c r="AU122" s="432">
        <v>0</v>
      </c>
      <c r="AV122" s="432">
        <v>0</v>
      </c>
      <c r="AW122" s="432">
        <v>0</v>
      </c>
      <c r="AX122" s="432">
        <v>0</v>
      </c>
      <c r="AY122" s="158">
        <v>0</v>
      </c>
      <c r="AZ122" s="158">
        <v>0</v>
      </c>
      <c r="BA122" s="158">
        <v>0</v>
      </c>
      <c r="BB122" s="158">
        <v>0</v>
      </c>
      <c r="BC122" s="158">
        <v>0</v>
      </c>
      <c r="BD122" s="158">
        <v>0</v>
      </c>
      <c r="BE122" s="158">
        <v>0</v>
      </c>
      <c r="BF122" s="160">
        <v>0</v>
      </c>
      <c r="BG122" s="383">
        <v>2023</v>
      </c>
      <c r="BH122" s="383">
        <v>1</v>
      </c>
      <c r="BI122" s="383">
        <v>19</v>
      </c>
      <c r="BJ122" s="152"/>
      <c r="BK122" s="147" t="str">
        <f>IF(R122=SUM(Z122,AH122,AP122,AX122,BF122),"○","×")</f>
        <v>○</v>
      </c>
    </row>
    <row r="123" spans="1:63" s="152" customFormat="1" x14ac:dyDescent="0.2">
      <c r="A123" s="428">
        <v>1312</v>
      </c>
      <c r="B123" s="429"/>
      <c r="C123" s="430"/>
      <c r="D123" s="429"/>
      <c r="E123" s="430"/>
      <c r="F123" s="429"/>
      <c r="G123" s="429"/>
      <c r="H123" s="430"/>
      <c r="I123" s="429"/>
      <c r="J123" s="429"/>
      <c r="K123" s="429"/>
      <c r="L123" s="383"/>
      <c r="M123" s="383" t="s">
        <v>544</v>
      </c>
      <c r="N123" s="383" t="s">
        <v>323</v>
      </c>
      <c r="O123" s="383" t="s">
        <v>437</v>
      </c>
      <c r="P123" s="383" t="s">
        <v>970</v>
      </c>
      <c r="Q123" s="146"/>
      <c r="R123" s="431">
        <v>663000</v>
      </c>
      <c r="S123" s="158">
        <v>0</v>
      </c>
      <c r="T123" s="158">
        <v>0</v>
      </c>
      <c r="U123" s="158">
        <v>0</v>
      </c>
      <c r="V123" s="158">
        <v>0</v>
      </c>
      <c r="W123" s="158">
        <v>0</v>
      </c>
      <c r="X123" s="158">
        <v>0</v>
      </c>
      <c r="Y123" s="158">
        <v>0</v>
      </c>
      <c r="Z123" s="158">
        <v>0</v>
      </c>
      <c r="AA123" s="432">
        <v>0</v>
      </c>
      <c r="AB123" s="432">
        <v>0</v>
      </c>
      <c r="AC123" s="432">
        <v>0</v>
      </c>
      <c r="AD123" s="432">
        <v>0</v>
      </c>
      <c r="AE123" s="432">
        <v>0</v>
      </c>
      <c r="AF123" s="432">
        <v>0</v>
      </c>
      <c r="AG123" s="432">
        <v>0</v>
      </c>
      <c r="AH123" s="432">
        <v>0</v>
      </c>
      <c r="AI123" s="158">
        <v>663590</v>
      </c>
      <c r="AJ123" s="158">
        <v>0</v>
      </c>
      <c r="AK123" s="158">
        <v>663590</v>
      </c>
      <c r="AL123" s="158">
        <v>663590</v>
      </c>
      <c r="AM123" s="158">
        <v>3600000</v>
      </c>
      <c r="AN123" s="158">
        <v>663590</v>
      </c>
      <c r="AO123" s="158">
        <v>663590</v>
      </c>
      <c r="AP123" s="158">
        <v>663000</v>
      </c>
      <c r="AQ123" s="432">
        <v>0</v>
      </c>
      <c r="AR123" s="432">
        <v>0</v>
      </c>
      <c r="AS123" s="432">
        <v>0</v>
      </c>
      <c r="AT123" s="432">
        <v>0</v>
      </c>
      <c r="AU123" s="432">
        <v>0</v>
      </c>
      <c r="AV123" s="432">
        <v>0</v>
      </c>
      <c r="AW123" s="432">
        <v>0</v>
      </c>
      <c r="AX123" s="432">
        <v>0</v>
      </c>
      <c r="AY123" s="158">
        <v>0</v>
      </c>
      <c r="AZ123" s="158">
        <v>0</v>
      </c>
      <c r="BA123" s="158">
        <v>0</v>
      </c>
      <c r="BB123" s="158">
        <v>0</v>
      </c>
      <c r="BC123" s="158">
        <v>0</v>
      </c>
      <c r="BD123" s="158">
        <v>0</v>
      </c>
      <c r="BE123" s="158">
        <v>0</v>
      </c>
      <c r="BF123" s="160">
        <v>0</v>
      </c>
      <c r="BG123" s="383">
        <v>2023</v>
      </c>
      <c r="BH123" s="383">
        <v>1</v>
      </c>
      <c r="BI123" s="383">
        <v>19</v>
      </c>
      <c r="BJ123" s="148"/>
      <c r="BK123" s="147" t="str">
        <f>IF(R123=SUM(Z123,AH123,AP123,AX123,BF123),"○","×")</f>
        <v>○</v>
      </c>
    </row>
    <row r="124" spans="1:63" x14ac:dyDescent="0.2">
      <c r="A124" s="428">
        <v>1313</v>
      </c>
      <c r="B124" s="429"/>
      <c r="C124" s="430"/>
      <c r="D124" s="429"/>
      <c r="E124" s="430"/>
      <c r="F124" s="429"/>
      <c r="G124" s="429"/>
      <c r="H124" s="430"/>
      <c r="I124" s="429"/>
      <c r="J124" s="429"/>
      <c r="K124" s="429"/>
      <c r="L124" s="383"/>
      <c r="M124" s="383" t="s">
        <v>545</v>
      </c>
      <c r="N124" s="383" t="s">
        <v>343</v>
      </c>
      <c r="O124" s="383" t="s">
        <v>525</v>
      </c>
      <c r="P124" s="383" t="s">
        <v>970</v>
      </c>
      <c r="Q124" s="383"/>
      <c r="R124" s="431">
        <v>84000</v>
      </c>
      <c r="S124" s="158">
        <v>0</v>
      </c>
      <c r="T124" s="158">
        <v>0</v>
      </c>
      <c r="U124" s="158">
        <v>0</v>
      </c>
      <c r="V124" s="158">
        <v>0</v>
      </c>
      <c r="W124" s="158">
        <v>0</v>
      </c>
      <c r="X124" s="158">
        <v>0</v>
      </c>
      <c r="Y124" s="158">
        <v>0</v>
      </c>
      <c r="Z124" s="158">
        <v>0</v>
      </c>
      <c r="AA124" s="432">
        <v>0</v>
      </c>
      <c r="AB124" s="432">
        <v>0</v>
      </c>
      <c r="AC124" s="432">
        <v>0</v>
      </c>
      <c r="AD124" s="432">
        <v>0</v>
      </c>
      <c r="AE124" s="432">
        <v>0</v>
      </c>
      <c r="AF124" s="432">
        <v>0</v>
      </c>
      <c r="AG124" s="432">
        <v>0</v>
      </c>
      <c r="AH124" s="432">
        <v>0</v>
      </c>
      <c r="AI124" s="158">
        <v>84480</v>
      </c>
      <c r="AJ124" s="158">
        <v>0</v>
      </c>
      <c r="AK124" s="158">
        <v>84480</v>
      </c>
      <c r="AL124" s="158">
        <v>84480</v>
      </c>
      <c r="AM124" s="158">
        <v>3456000</v>
      </c>
      <c r="AN124" s="158">
        <v>84480</v>
      </c>
      <c r="AO124" s="158">
        <v>84480</v>
      </c>
      <c r="AP124" s="158">
        <v>84000</v>
      </c>
      <c r="AQ124" s="432">
        <v>0</v>
      </c>
      <c r="AR124" s="432">
        <v>0</v>
      </c>
      <c r="AS124" s="432">
        <v>0</v>
      </c>
      <c r="AT124" s="432">
        <v>0</v>
      </c>
      <c r="AU124" s="432">
        <v>0</v>
      </c>
      <c r="AV124" s="432">
        <v>0</v>
      </c>
      <c r="AW124" s="432">
        <v>0</v>
      </c>
      <c r="AX124" s="432">
        <v>0</v>
      </c>
      <c r="AY124" s="158">
        <v>0</v>
      </c>
      <c r="AZ124" s="158">
        <v>0</v>
      </c>
      <c r="BA124" s="158">
        <v>0</v>
      </c>
      <c r="BB124" s="158">
        <v>0</v>
      </c>
      <c r="BC124" s="158">
        <v>0</v>
      </c>
      <c r="BD124" s="158">
        <v>0</v>
      </c>
      <c r="BE124" s="158">
        <v>0</v>
      </c>
      <c r="BF124" s="160">
        <v>0</v>
      </c>
      <c r="BG124" s="383">
        <v>2023</v>
      </c>
      <c r="BH124" s="383">
        <v>1</v>
      </c>
      <c r="BI124" s="383">
        <v>19</v>
      </c>
      <c r="BJ124" s="152"/>
      <c r="BK124" s="147" t="str">
        <f>IF(R124=SUM(Z124,AH124,AP124,AX124,BF124),"○","×")</f>
        <v>○</v>
      </c>
    </row>
    <row r="125" spans="1:63" x14ac:dyDescent="0.2">
      <c r="A125" s="428">
        <v>1314</v>
      </c>
      <c r="B125" s="429"/>
      <c r="C125" s="430"/>
      <c r="D125" s="429"/>
      <c r="E125" s="430"/>
      <c r="F125" s="429"/>
      <c r="G125" s="429"/>
      <c r="H125" s="430"/>
      <c r="I125" s="429"/>
      <c r="J125" s="429"/>
      <c r="K125" s="429"/>
      <c r="L125" s="383"/>
      <c r="M125" s="383" t="s">
        <v>546</v>
      </c>
      <c r="N125" s="383" t="s">
        <v>547</v>
      </c>
      <c r="O125" s="383" t="s">
        <v>548</v>
      </c>
      <c r="P125" s="383" t="s">
        <v>970</v>
      </c>
      <c r="Q125" s="383"/>
      <c r="R125" s="431">
        <v>835000</v>
      </c>
      <c r="S125" s="158">
        <v>0</v>
      </c>
      <c r="T125" s="158">
        <v>0</v>
      </c>
      <c r="U125" s="158">
        <v>0</v>
      </c>
      <c r="V125" s="158">
        <v>0</v>
      </c>
      <c r="W125" s="158">
        <v>0</v>
      </c>
      <c r="X125" s="158">
        <v>0</v>
      </c>
      <c r="Y125" s="158">
        <v>0</v>
      </c>
      <c r="Z125" s="158">
        <v>0</v>
      </c>
      <c r="AA125" s="432">
        <v>0</v>
      </c>
      <c r="AB125" s="432">
        <v>0</v>
      </c>
      <c r="AC125" s="432">
        <v>0</v>
      </c>
      <c r="AD125" s="432">
        <v>0</v>
      </c>
      <c r="AE125" s="432">
        <v>0</v>
      </c>
      <c r="AF125" s="432">
        <v>0</v>
      </c>
      <c r="AG125" s="432">
        <v>0</v>
      </c>
      <c r="AH125" s="432">
        <v>0</v>
      </c>
      <c r="AI125" s="158">
        <v>835720</v>
      </c>
      <c r="AJ125" s="158">
        <v>0</v>
      </c>
      <c r="AK125" s="158">
        <v>835720</v>
      </c>
      <c r="AL125" s="158">
        <v>835720</v>
      </c>
      <c r="AM125" s="158">
        <v>4320000</v>
      </c>
      <c r="AN125" s="158">
        <v>835720</v>
      </c>
      <c r="AO125" s="158">
        <v>835720</v>
      </c>
      <c r="AP125" s="158">
        <v>835000</v>
      </c>
      <c r="AQ125" s="432">
        <v>0</v>
      </c>
      <c r="AR125" s="432">
        <v>0</v>
      </c>
      <c r="AS125" s="432">
        <v>0</v>
      </c>
      <c r="AT125" s="432">
        <v>0</v>
      </c>
      <c r="AU125" s="432">
        <v>0</v>
      </c>
      <c r="AV125" s="432">
        <v>0</v>
      </c>
      <c r="AW125" s="432">
        <v>0</v>
      </c>
      <c r="AX125" s="432">
        <v>0</v>
      </c>
      <c r="AY125" s="158">
        <v>0</v>
      </c>
      <c r="AZ125" s="158">
        <v>0</v>
      </c>
      <c r="BA125" s="158">
        <v>0</v>
      </c>
      <c r="BB125" s="158">
        <v>0</v>
      </c>
      <c r="BC125" s="158">
        <v>0</v>
      </c>
      <c r="BD125" s="158">
        <v>0</v>
      </c>
      <c r="BE125" s="158">
        <v>0</v>
      </c>
      <c r="BF125" s="160">
        <v>0</v>
      </c>
      <c r="BG125" s="383">
        <v>2023</v>
      </c>
      <c r="BH125" s="383">
        <v>1</v>
      </c>
      <c r="BI125" s="383">
        <v>19</v>
      </c>
      <c r="BK125" s="147" t="str">
        <f>IF(R125=SUM(Z125,AH125,AP125,AX125,BF125),"○","×")</f>
        <v>○</v>
      </c>
    </row>
    <row r="126" spans="1:63" x14ac:dyDescent="0.2">
      <c r="A126" s="428">
        <v>1315</v>
      </c>
      <c r="B126" s="429"/>
      <c r="C126" s="430"/>
      <c r="D126" s="429"/>
      <c r="E126" s="430"/>
      <c r="F126" s="429"/>
      <c r="G126" s="429"/>
      <c r="H126" s="430"/>
      <c r="I126" s="429"/>
      <c r="J126" s="429"/>
      <c r="K126" s="429"/>
      <c r="L126" s="383"/>
      <c r="M126" s="383" t="s">
        <v>549</v>
      </c>
      <c r="N126" s="383" t="s">
        <v>340</v>
      </c>
      <c r="O126" s="383" t="s">
        <v>365</v>
      </c>
      <c r="P126" s="383" t="s">
        <v>970</v>
      </c>
      <c r="Q126" s="383"/>
      <c r="R126" s="431">
        <v>170000</v>
      </c>
      <c r="S126" s="158">
        <v>0</v>
      </c>
      <c r="T126" s="158">
        <v>0</v>
      </c>
      <c r="U126" s="158">
        <v>0</v>
      </c>
      <c r="V126" s="158">
        <v>0</v>
      </c>
      <c r="W126" s="158">
        <v>0</v>
      </c>
      <c r="X126" s="158">
        <v>0</v>
      </c>
      <c r="Y126" s="158">
        <v>0</v>
      </c>
      <c r="Z126" s="158">
        <v>0</v>
      </c>
      <c r="AA126" s="432">
        <v>0</v>
      </c>
      <c r="AB126" s="432">
        <v>0</v>
      </c>
      <c r="AC126" s="432">
        <v>0</v>
      </c>
      <c r="AD126" s="432">
        <v>0</v>
      </c>
      <c r="AE126" s="432">
        <v>0</v>
      </c>
      <c r="AF126" s="432">
        <v>0</v>
      </c>
      <c r="AG126" s="432">
        <v>0</v>
      </c>
      <c r="AH126" s="432">
        <v>0</v>
      </c>
      <c r="AI126" s="158">
        <v>170857</v>
      </c>
      <c r="AJ126" s="158">
        <v>0</v>
      </c>
      <c r="AK126" s="158">
        <v>170857</v>
      </c>
      <c r="AL126" s="158">
        <v>170857</v>
      </c>
      <c r="AM126" s="158">
        <v>1522800</v>
      </c>
      <c r="AN126" s="158">
        <v>170857</v>
      </c>
      <c r="AO126" s="158">
        <v>170857</v>
      </c>
      <c r="AP126" s="158">
        <v>170000</v>
      </c>
      <c r="AQ126" s="432">
        <v>0</v>
      </c>
      <c r="AR126" s="432">
        <v>0</v>
      </c>
      <c r="AS126" s="432">
        <v>0</v>
      </c>
      <c r="AT126" s="432">
        <v>0</v>
      </c>
      <c r="AU126" s="432">
        <v>0</v>
      </c>
      <c r="AV126" s="432">
        <v>0</v>
      </c>
      <c r="AW126" s="432">
        <v>0</v>
      </c>
      <c r="AX126" s="432">
        <v>0</v>
      </c>
      <c r="AY126" s="158">
        <v>0</v>
      </c>
      <c r="AZ126" s="158">
        <v>0</v>
      </c>
      <c r="BA126" s="158">
        <v>0</v>
      </c>
      <c r="BB126" s="158">
        <v>0</v>
      </c>
      <c r="BC126" s="158">
        <v>0</v>
      </c>
      <c r="BD126" s="158">
        <v>0</v>
      </c>
      <c r="BE126" s="158">
        <v>0</v>
      </c>
      <c r="BF126" s="160">
        <v>0</v>
      </c>
      <c r="BG126" s="383">
        <v>2023</v>
      </c>
      <c r="BH126" s="383">
        <v>1</v>
      </c>
      <c r="BI126" s="383">
        <v>19</v>
      </c>
      <c r="BK126" s="147" t="str">
        <f>IF(R126=SUM(Z126,AH126,AP126,AX126,BF126),"○","×")</f>
        <v>○</v>
      </c>
    </row>
    <row r="127" spans="1:63" x14ac:dyDescent="0.2">
      <c r="A127" s="428">
        <v>1316</v>
      </c>
      <c r="B127" s="429"/>
      <c r="C127" s="430"/>
      <c r="D127" s="429"/>
      <c r="E127" s="430"/>
      <c r="F127" s="429"/>
      <c r="G127" s="429"/>
      <c r="H127" s="430"/>
      <c r="I127" s="429"/>
      <c r="J127" s="429"/>
      <c r="K127" s="429"/>
      <c r="L127" s="383"/>
      <c r="M127" s="383" t="s">
        <v>550</v>
      </c>
      <c r="N127" s="383" t="s">
        <v>353</v>
      </c>
      <c r="O127" s="383" t="s">
        <v>551</v>
      </c>
      <c r="P127" s="383" t="s">
        <v>970</v>
      </c>
      <c r="Q127" s="383"/>
      <c r="R127" s="431">
        <v>697000</v>
      </c>
      <c r="S127" s="158">
        <v>0</v>
      </c>
      <c r="T127" s="158">
        <v>0</v>
      </c>
      <c r="U127" s="158">
        <v>0</v>
      </c>
      <c r="V127" s="158">
        <v>0</v>
      </c>
      <c r="W127" s="158">
        <v>0</v>
      </c>
      <c r="X127" s="158">
        <v>0</v>
      </c>
      <c r="Y127" s="158">
        <v>0</v>
      </c>
      <c r="Z127" s="158">
        <v>0</v>
      </c>
      <c r="AA127" s="432">
        <v>0</v>
      </c>
      <c r="AB127" s="432">
        <v>0</v>
      </c>
      <c r="AC127" s="432">
        <v>0</v>
      </c>
      <c r="AD127" s="432">
        <v>0</v>
      </c>
      <c r="AE127" s="432">
        <v>0</v>
      </c>
      <c r="AF127" s="432">
        <v>0</v>
      </c>
      <c r="AG127" s="432">
        <v>0</v>
      </c>
      <c r="AH127" s="432">
        <v>0</v>
      </c>
      <c r="AI127" s="158">
        <v>697730</v>
      </c>
      <c r="AJ127" s="158">
        <v>0</v>
      </c>
      <c r="AK127" s="158">
        <v>697730</v>
      </c>
      <c r="AL127" s="158">
        <v>697730</v>
      </c>
      <c r="AM127" s="158">
        <v>1566000</v>
      </c>
      <c r="AN127" s="158">
        <v>697730</v>
      </c>
      <c r="AO127" s="158">
        <v>697730</v>
      </c>
      <c r="AP127" s="158">
        <v>697000</v>
      </c>
      <c r="AQ127" s="432">
        <v>0</v>
      </c>
      <c r="AR127" s="432">
        <v>0</v>
      </c>
      <c r="AS127" s="432">
        <v>0</v>
      </c>
      <c r="AT127" s="432">
        <v>0</v>
      </c>
      <c r="AU127" s="432">
        <v>0</v>
      </c>
      <c r="AV127" s="432">
        <v>0</v>
      </c>
      <c r="AW127" s="432">
        <v>0</v>
      </c>
      <c r="AX127" s="432">
        <v>0</v>
      </c>
      <c r="AY127" s="158">
        <v>0</v>
      </c>
      <c r="AZ127" s="158">
        <v>0</v>
      </c>
      <c r="BA127" s="158">
        <v>0</v>
      </c>
      <c r="BB127" s="158">
        <v>0</v>
      </c>
      <c r="BC127" s="158">
        <v>0</v>
      </c>
      <c r="BD127" s="158">
        <v>0</v>
      </c>
      <c r="BE127" s="158">
        <v>0</v>
      </c>
      <c r="BF127" s="160">
        <v>0</v>
      </c>
      <c r="BG127" s="383">
        <v>2023</v>
      </c>
      <c r="BH127" s="383">
        <v>1</v>
      </c>
      <c r="BI127" s="383">
        <v>19</v>
      </c>
      <c r="BK127" s="147" t="str">
        <f>IF(R127=SUM(Z127,AH127,AP127,AX127,BF127),"○","×")</f>
        <v>○</v>
      </c>
    </row>
    <row r="128" spans="1:63" x14ac:dyDescent="0.2">
      <c r="A128" s="428">
        <v>1317</v>
      </c>
      <c r="B128" s="429"/>
      <c r="C128" s="430"/>
      <c r="D128" s="429"/>
      <c r="E128" s="430"/>
      <c r="F128" s="429"/>
      <c r="G128" s="429"/>
      <c r="H128" s="430"/>
      <c r="I128" s="429"/>
      <c r="J128" s="429"/>
      <c r="K128" s="429"/>
      <c r="L128" s="383"/>
      <c r="M128" s="383" t="s">
        <v>539</v>
      </c>
      <c r="N128" s="383" t="s">
        <v>470</v>
      </c>
      <c r="O128" s="383" t="s">
        <v>540</v>
      </c>
      <c r="P128" s="383" t="s">
        <v>970</v>
      </c>
      <c r="Q128" s="383"/>
      <c r="R128" s="431">
        <v>334000</v>
      </c>
      <c r="S128" s="158">
        <v>0</v>
      </c>
      <c r="T128" s="158">
        <v>0</v>
      </c>
      <c r="U128" s="158">
        <v>0</v>
      </c>
      <c r="V128" s="158">
        <v>0</v>
      </c>
      <c r="W128" s="158">
        <v>0</v>
      </c>
      <c r="X128" s="158">
        <v>0</v>
      </c>
      <c r="Y128" s="158">
        <v>0</v>
      </c>
      <c r="Z128" s="158">
        <v>0</v>
      </c>
      <c r="AA128" s="432">
        <v>0</v>
      </c>
      <c r="AB128" s="432">
        <v>0</v>
      </c>
      <c r="AC128" s="432">
        <v>0</v>
      </c>
      <c r="AD128" s="432">
        <v>0</v>
      </c>
      <c r="AE128" s="432">
        <v>0</v>
      </c>
      <c r="AF128" s="432">
        <v>0</v>
      </c>
      <c r="AG128" s="432">
        <v>0</v>
      </c>
      <c r="AH128" s="432">
        <v>0</v>
      </c>
      <c r="AI128" s="158">
        <v>334653</v>
      </c>
      <c r="AJ128" s="158">
        <v>0</v>
      </c>
      <c r="AK128" s="158">
        <v>334653</v>
      </c>
      <c r="AL128" s="158">
        <v>334653</v>
      </c>
      <c r="AM128" s="158">
        <v>5742000</v>
      </c>
      <c r="AN128" s="158">
        <v>334653</v>
      </c>
      <c r="AO128" s="158">
        <v>334653</v>
      </c>
      <c r="AP128" s="158">
        <v>334000</v>
      </c>
      <c r="AQ128" s="432">
        <v>0</v>
      </c>
      <c r="AR128" s="432">
        <v>0</v>
      </c>
      <c r="AS128" s="432">
        <v>0</v>
      </c>
      <c r="AT128" s="432">
        <v>0</v>
      </c>
      <c r="AU128" s="432">
        <v>0</v>
      </c>
      <c r="AV128" s="432">
        <v>0</v>
      </c>
      <c r="AW128" s="432">
        <v>0</v>
      </c>
      <c r="AX128" s="432">
        <v>0</v>
      </c>
      <c r="AY128" s="158">
        <v>0</v>
      </c>
      <c r="AZ128" s="158">
        <v>0</v>
      </c>
      <c r="BA128" s="158">
        <v>0</v>
      </c>
      <c r="BB128" s="158">
        <v>0</v>
      </c>
      <c r="BC128" s="158">
        <v>0</v>
      </c>
      <c r="BD128" s="158">
        <v>0</v>
      </c>
      <c r="BE128" s="158">
        <v>0</v>
      </c>
      <c r="BF128" s="160">
        <v>0</v>
      </c>
      <c r="BG128" s="383">
        <v>2023</v>
      </c>
      <c r="BH128" s="383">
        <v>1</v>
      </c>
      <c r="BI128" s="383">
        <v>19</v>
      </c>
      <c r="BK128" s="147" t="str">
        <f>IF(R128=SUM(Z128,AH128,AP128,AX128,BF128),"○","×")</f>
        <v>○</v>
      </c>
    </row>
    <row r="129" spans="1:63" x14ac:dyDescent="0.2">
      <c r="A129" s="428">
        <v>1318</v>
      </c>
      <c r="B129" s="429"/>
      <c r="C129" s="430"/>
      <c r="D129" s="429"/>
      <c r="E129" s="430"/>
      <c r="F129" s="429"/>
      <c r="G129" s="429"/>
      <c r="H129" s="430"/>
      <c r="I129" s="429"/>
      <c r="J129" s="429"/>
      <c r="K129" s="429"/>
      <c r="L129" s="383"/>
      <c r="M129" s="383" t="s">
        <v>552</v>
      </c>
      <c r="N129" s="383" t="s">
        <v>353</v>
      </c>
      <c r="O129" s="383" t="s">
        <v>346</v>
      </c>
      <c r="P129" s="383" t="s">
        <v>970</v>
      </c>
      <c r="Q129" s="146"/>
      <c r="R129" s="431">
        <v>149000</v>
      </c>
      <c r="S129" s="158">
        <v>0</v>
      </c>
      <c r="T129" s="158">
        <v>0</v>
      </c>
      <c r="U129" s="158">
        <v>0</v>
      </c>
      <c r="V129" s="158">
        <v>0</v>
      </c>
      <c r="W129" s="158">
        <v>0</v>
      </c>
      <c r="X129" s="158">
        <v>0</v>
      </c>
      <c r="Y129" s="158">
        <v>0</v>
      </c>
      <c r="Z129" s="158">
        <v>0</v>
      </c>
      <c r="AA129" s="432">
        <v>0</v>
      </c>
      <c r="AB129" s="432">
        <v>0</v>
      </c>
      <c r="AC129" s="432">
        <v>0</v>
      </c>
      <c r="AD129" s="432">
        <v>0</v>
      </c>
      <c r="AE129" s="432">
        <v>0</v>
      </c>
      <c r="AF129" s="432">
        <v>0</v>
      </c>
      <c r="AG129" s="432">
        <v>0</v>
      </c>
      <c r="AH129" s="432">
        <v>0</v>
      </c>
      <c r="AI129" s="158">
        <v>149142</v>
      </c>
      <c r="AJ129" s="158">
        <v>0</v>
      </c>
      <c r="AK129" s="158">
        <v>149142</v>
      </c>
      <c r="AL129" s="158">
        <v>149142</v>
      </c>
      <c r="AM129" s="158">
        <v>3049200</v>
      </c>
      <c r="AN129" s="158">
        <v>149142</v>
      </c>
      <c r="AO129" s="158">
        <v>149142</v>
      </c>
      <c r="AP129" s="158">
        <v>149000</v>
      </c>
      <c r="AQ129" s="432">
        <v>0</v>
      </c>
      <c r="AR129" s="432">
        <v>0</v>
      </c>
      <c r="AS129" s="432">
        <v>0</v>
      </c>
      <c r="AT129" s="432">
        <v>0</v>
      </c>
      <c r="AU129" s="432">
        <v>0</v>
      </c>
      <c r="AV129" s="432">
        <v>0</v>
      </c>
      <c r="AW129" s="432">
        <v>0</v>
      </c>
      <c r="AX129" s="432">
        <v>0</v>
      </c>
      <c r="AY129" s="158">
        <v>0</v>
      </c>
      <c r="AZ129" s="158">
        <v>0</v>
      </c>
      <c r="BA129" s="158">
        <v>0</v>
      </c>
      <c r="BB129" s="158">
        <v>0</v>
      </c>
      <c r="BC129" s="158">
        <v>0</v>
      </c>
      <c r="BD129" s="158">
        <v>0</v>
      </c>
      <c r="BE129" s="158">
        <v>0</v>
      </c>
      <c r="BF129" s="160">
        <v>0</v>
      </c>
      <c r="BG129" s="383">
        <v>2023</v>
      </c>
      <c r="BH129" s="383">
        <v>1</v>
      </c>
      <c r="BI129" s="383">
        <v>19</v>
      </c>
      <c r="BK129" s="147" t="str">
        <f>IF(R129=SUM(Z129,AH129,AP129,AX129,BF129),"○","×")</f>
        <v>○</v>
      </c>
    </row>
    <row r="130" spans="1:63" x14ac:dyDescent="0.2">
      <c r="A130" s="428">
        <v>1319</v>
      </c>
      <c r="B130" s="429"/>
      <c r="C130" s="430"/>
      <c r="D130" s="429"/>
      <c r="E130" s="430"/>
      <c r="F130" s="429"/>
      <c r="G130" s="429"/>
      <c r="H130" s="430"/>
      <c r="I130" s="429"/>
      <c r="J130" s="429"/>
      <c r="K130" s="429"/>
      <c r="L130" s="383"/>
      <c r="M130" s="383" t="s">
        <v>553</v>
      </c>
      <c r="N130" s="383" t="s">
        <v>356</v>
      </c>
      <c r="O130" s="383" t="s">
        <v>363</v>
      </c>
      <c r="P130" s="383" t="s">
        <v>970</v>
      </c>
      <c r="Q130" s="383"/>
      <c r="R130" s="431">
        <v>627000</v>
      </c>
      <c r="S130" s="158">
        <v>0</v>
      </c>
      <c r="T130" s="158">
        <v>0</v>
      </c>
      <c r="U130" s="158">
        <v>0</v>
      </c>
      <c r="V130" s="158">
        <v>0</v>
      </c>
      <c r="W130" s="158">
        <v>0</v>
      </c>
      <c r="X130" s="158">
        <v>0</v>
      </c>
      <c r="Y130" s="158">
        <v>0</v>
      </c>
      <c r="Z130" s="158">
        <v>0</v>
      </c>
      <c r="AA130" s="432">
        <v>0</v>
      </c>
      <c r="AB130" s="432">
        <v>0</v>
      </c>
      <c r="AC130" s="432">
        <v>0</v>
      </c>
      <c r="AD130" s="432">
        <v>0</v>
      </c>
      <c r="AE130" s="432">
        <v>0</v>
      </c>
      <c r="AF130" s="432">
        <v>0</v>
      </c>
      <c r="AG130" s="432">
        <v>0</v>
      </c>
      <c r="AH130" s="432">
        <v>0</v>
      </c>
      <c r="AI130" s="158">
        <v>627500</v>
      </c>
      <c r="AJ130" s="158">
        <v>0</v>
      </c>
      <c r="AK130" s="158">
        <v>627500</v>
      </c>
      <c r="AL130" s="158">
        <v>627500</v>
      </c>
      <c r="AM130" s="158">
        <v>1036800</v>
      </c>
      <c r="AN130" s="158">
        <v>627500</v>
      </c>
      <c r="AO130" s="158">
        <v>627500</v>
      </c>
      <c r="AP130" s="158">
        <v>627000</v>
      </c>
      <c r="AQ130" s="432">
        <v>0</v>
      </c>
      <c r="AR130" s="432">
        <v>0</v>
      </c>
      <c r="AS130" s="432">
        <v>0</v>
      </c>
      <c r="AT130" s="432">
        <v>0</v>
      </c>
      <c r="AU130" s="432">
        <v>0</v>
      </c>
      <c r="AV130" s="432">
        <v>0</v>
      </c>
      <c r="AW130" s="432">
        <v>0</v>
      </c>
      <c r="AX130" s="432">
        <v>0</v>
      </c>
      <c r="AY130" s="158">
        <v>0</v>
      </c>
      <c r="AZ130" s="158">
        <v>0</v>
      </c>
      <c r="BA130" s="158">
        <v>0</v>
      </c>
      <c r="BB130" s="158">
        <v>0</v>
      </c>
      <c r="BC130" s="158">
        <v>0</v>
      </c>
      <c r="BD130" s="158">
        <v>0</v>
      </c>
      <c r="BE130" s="158">
        <v>0</v>
      </c>
      <c r="BF130" s="160">
        <v>0</v>
      </c>
      <c r="BG130" s="383">
        <v>2023</v>
      </c>
      <c r="BH130" s="383">
        <v>1</v>
      </c>
      <c r="BI130" s="383">
        <v>19</v>
      </c>
      <c r="BK130" s="147" t="str">
        <f>IF(R130=SUM(Z130,AH130,AP130,AX130,BF130),"○","×")</f>
        <v>○</v>
      </c>
    </row>
    <row r="131" spans="1:63" x14ac:dyDescent="0.2">
      <c r="A131" s="428">
        <v>1320</v>
      </c>
      <c r="B131" s="429"/>
      <c r="C131" s="430"/>
      <c r="D131" s="429"/>
      <c r="E131" s="430"/>
      <c r="F131" s="429"/>
      <c r="G131" s="429"/>
      <c r="H131" s="430"/>
      <c r="I131" s="429"/>
      <c r="J131" s="429"/>
      <c r="K131" s="429"/>
      <c r="L131" s="383"/>
      <c r="M131" s="383" t="s">
        <v>554</v>
      </c>
      <c r="N131" s="383" t="s">
        <v>326</v>
      </c>
      <c r="O131" s="383" t="s">
        <v>432</v>
      </c>
      <c r="P131" s="383" t="s">
        <v>970</v>
      </c>
      <c r="Q131" s="383"/>
      <c r="R131" s="431">
        <v>734000</v>
      </c>
      <c r="S131" s="158">
        <v>0</v>
      </c>
      <c r="T131" s="158">
        <v>0</v>
      </c>
      <c r="U131" s="158">
        <v>0</v>
      </c>
      <c r="V131" s="158">
        <v>0</v>
      </c>
      <c r="W131" s="158">
        <v>0</v>
      </c>
      <c r="X131" s="158">
        <v>0</v>
      </c>
      <c r="Y131" s="158">
        <v>0</v>
      </c>
      <c r="Z131" s="158">
        <v>0</v>
      </c>
      <c r="AA131" s="432">
        <v>0</v>
      </c>
      <c r="AB131" s="432">
        <v>0</v>
      </c>
      <c r="AC131" s="432">
        <v>0</v>
      </c>
      <c r="AD131" s="432">
        <v>0</v>
      </c>
      <c r="AE131" s="432">
        <v>0</v>
      </c>
      <c r="AF131" s="432">
        <v>0</v>
      </c>
      <c r="AG131" s="432">
        <v>0</v>
      </c>
      <c r="AH131" s="432">
        <v>0</v>
      </c>
      <c r="AI131" s="158">
        <v>734760</v>
      </c>
      <c r="AJ131" s="158">
        <v>0</v>
      </c>
      <c r="AK131" s="158">
        <v>734760</v>
      </c>
      <c r="AL131" s="158">
        <v>734760</v>
      </c>
      <c r="AM131" s="158">
        <v>1929600</v>
      </c>
      <c r="AN131" s="158">
        <v>734760</v>
      </c>
      <c r="AO131" s="158">
        <v>734760</v>
      </c>
      <c r="AP131" s="158">
        <v>734000</v>
      </c>
      <c r="AQ131" s="432">
        <v>0</v>
      </c>
      <c r="AR131" s="432">
        <v>0</v>
      </c>
      <c r="AS131" s="432">
        <v>0</v>
      </c>
      <c r="AT131" s="432">
        <v>0</v>
      </c>
      <c r="AU131" s="432">
        <v>0</v>
      </c>
      <c r="AV131" s="432">
        <v>0</v>
      </c>
      <c r="AW131" s="432">
        <v>0</v>
      </c>
      <c r="AX131" s="432">
        <v>0</v>
      </c>
      <c r="AY131" s="158">
        <v>0</v>
      </c>
      <c r="AZ131" s="158">
        <v>0</v>
      </c>
      <c r="BA131" s="158">
        <v>0</v>
      </c>
      <c r="BB131" s="158">
        <v>0</v>
      </c>
      <c r="BC131" s="158">
        <v>0</v>
      </c>
      <c r="BD131" s="158">
        <v>0</v>
      </c>
      <c r="BE131" s="158">
        <v>0</v>
      </c>
      <c r="BF131" s="160">
        <v>0</v>
      </c>
      <c r="BG131" s="383">
        <v>2023</v>
      </c>
      <c r="BH131" s="383">
        <v>1</v>
      </c>
      <c r="BI131" s="383">
        <v>19</v>
      </c>
      <c r="BK131" s="147" t="str">
        <f>IF(R131=SUM(Z131,AH131,AP131,AX131,BF131),"○","×")</f>
        <v>○</v>
      </c>
    </row>
    <row r="132" spans="1:63" x14ac:dyDescent="0.2">
      <c r="A132" s="428">
        <v>1321</v>
      </c>
      <c r="B132" s="429"/>
      <c r="C132" s="430"/>
      <c r="D132" s="429"/>
      <c r="E132" s="430"/>
      <c r="F132" s="429"/>
      <c r="G132" s="429"/>
      <c r="H132" s="430"/>
      <c r="I132" s="429"/>
      <c r="J132" s="429"/>
      <c r="K132" s="429"/>
      <c r="L132" s="383"/>
      <c r="M132" s="383" t="s">
        <v>555</v>
      </c>
      <c r="N132" s="383" t="s">
        <v>329</v>
      </c>
      <c r="O132" s="383" t="s">
        <v>418</v>
      </c>
      <c r="P132" s="383" t="s">
        <v>970</v>
      </c>
      <c r="Q132" s="383"/>
      <c r="R132" s="431">
        <v>87000</v>
      </c>
      <c r="S132" s="158">
        <v>0</v>
      </c>
      <c r="T132" s="158">
        <v>0</v>
      </c>
      <c r="U132" s="158">
        <v>0</v>
      </c>
      <c r="V132" s="158">
        <v>0</v>
      </c>
      <c r="W132" s="158">
        <v>0</v>
      </c>
      <c r="X132" s="158">
        <v>0</v>
      </c>
      <c r="Y132" s="158">
        <v>0</v>
      </c>
      <c r="Z132" s="158">
        <v>0</v>
      </c>
      <c r="AA132" s="432">
        <v>0</v>
      </c>
      <c r="AB132" s="432">
        <v>0</v>
      </c>
      <c r="AC132" s="432">
        <v>0</v>
      </c>
      <c r="AD132" s="432">
        <v>0</v>
      </c>
      <c r="AE132" s="432">
        <v>0</v>
      </c>
      <c r="AF132" s="432">
        <v>0</v>
      </c>
      <c r="AG132" s="432">
        <v>0</v>
      </c>
      <c r="AH132" s="432">
        <v>0</v>
      </c>
      <c r="AI132" s="158">
        <v>87760</v>
      </c>
      <c r="AJ132" s="158">
        <v>0</v>
      </c>
      <c r="AK132" s="158">
        <v>87760</v>
      </c>
      <c r="AL132" s="158">
        <v>87760</v>
      </c>
      <c r="AM132" s="158">
        <v>1710000</v>
      </c>
      <c r="AN132" s="158">
        <v>87760</v>
      </c>
      <c r="AO132" s="158">
        <v>87760</v>
      </c>
      <c r="AP132" s="158">
        <v>87000</v>
      </c>
      <c r="AQ132" s="432">
        <v>0</v>
      </c>
      <c r="AR132" s="432">
        <v>0</v>
      </c>
      <c r="AS132" s="432">
        <v>0</v>
      </c>
      <c r="AT132" s="432">
        <v>0</v>
      </c>
      <c r="AU132" s="432">
        <v>0</v>
      </c>
      <c r="AV132" s="432">
        <v>0</v>
      </c>
      <c r="AW132" s="432">
        <v>0</v>
      </c>
      <c r="AX132" s="432">
        <v>0</v>
      </c>
      <c r="AY132" s="158">
        <v>0</v>
      </c>
      <c r="AZ132" s="158">
        <v>0</v>
      </c>
      <c r="BA132" s="158">
        <v>0</v>
      </c>
      <c r="BB132" s="158">
        <v>0</v>
      </c>
      <c r="BC132" s="158">
        <v>0</v>
      </c>
      <c r="BD132" s="158">
        <v>0</v>
      </c>
      <c r="BE132" s="158">
        <v>0</v>
      </c>
      <c r="BF132" s="160">
        <v>0</v>
      </c>
      <c r="BG132" s="383">
        <v>2023</v>
      </c>
      <c r="BH132" s="383">
        <v>1</v>
      </c>
      <c r="BI132" s="383">
        <v>19</v>
      </c>
      <c r="BK132" s="147" t="str">
        <f>IF(R132=SUM(Z132,AH132,AP132,AX132,BF132),"○","×")</f>
        <v>○</v>
      </c>
    </row>
    <row r="133" spans="1:63" x14ac:dyDescent="0.2">
      <c r="A133" s="428">
        <v>1322</v>
      </c>
      <c r="B133" s="429"/>
      <c r="C133" s="430"/>
      <c r="D133" s="429"/>
      <c r="E133" s="430"/>
      <c r="F133" s="429"/>
      <c r="G133" s="429"/>
      <c r="H133" s="430"/>
      <c r="I133" s="429"/>
      <c r="J133" s="429"/>
      <c r="K133" s="429"/>
      <c r="L133" s="383"/>
      <c r="M133" s="383" t="s">
        <v>556</v>
      </c>
      <c r="N133" s="383" t="s">
        <v>384</v>
      </c>
      <c r="O133" s="383" t="s">
        <v>418</v>
      </c>
      <c r="P133" s="383" t="s">
        <v>970</v>
      </c>
      <c r="Q133" s="383"/>
      <c r="R133" s="431">
        <v>438000</v>
      </c>
      <c r="S133" s="158">
        <v>0</v>
      </c>
      <c r="T133" s="158">
        <v>0</v>
      </c>
      <c r="U133" s="158">
        <v>0</v>
      </c>
      <c r="V133" s="158">
        <v>0</v>
      </c>
      <c r="W133" s="158">
        <v>0</v>
      </c>
      <c r="X133" s="158">
        <v>0</v>
      </c>
      <c r="Y133" s="158">
        <v>0</v>
      </c>
      <c r="Z133" s="158">
        <v>0</v>
      </c>
      <c r="AA133" s="432">
        <v>0</v>
      </c>
      <c r="AB133" s="432">
        <v>0</v>
      </c>
      <c r="AC133" s="432">
        <v>0</v>
      </c>
      <c r="AD133" s="432">
        <v>0</v>
      </c>
      <c r="AE133" s="432">
        <v>0</v>
      </c>
      <c r="AF133" s="432">
        <v>0</v>
      </c>
      <c r="AG133" s="432">
        <v>0</v>
      </c>
      <c r="AH133" s="432">
        <v>0</v>
      </c>
      <c r="AI133" s="158">
        <v>438295</v>
      </c>
      <c r="AJ133" s="158">
        <v>0</v>
      </c>
      <c r="AK133" s="158">
        <v>438295</v>
      </c>
      <c r="AL133" s="158">
        <v>438295</v>
      </c>
      <c r="AM133" s="158">
        <v>4536000</v>
      </c>
      <c r="AN133" s="158">
        <v>438295</v>
      </c>
      <c r="AO133" s="158">
        <v>438295</v>
      </c>
      <c r="AP133" s="158">
        <v>438000</v>
      </c>
      <c r="AQ133" s="432">
        <v>0</v>
      </c>
      <c r="AR133" s="432">
        <v>0</v>
      </c>
      <c r="AS133" s="432">
        <v>0</v>
      </c>
      <c r="AT133" s="432">
        <v>0</v>
      </c>
      <c r="AU133" s="432">
        <v>0</v>
      </c>
      <c r="AV133" s="432">
        <v>0</v>
      </c>
      <c r="AW133" s="432">
        <v>0</v>
      </c>
      <c r="AX133" s="432">
        <v>0</v>
      </c>
      <c r="AY133" s="158">
        <v>0</v>
      </c>
      <c r="AZ133" s="158">
        <v>0</v>
      </c>
      <c r="BA133" s="158">
        <v>0</v>
      </c>
      <c r="BB133" s="158">
        <v>0</v>
      </c>
      <c r="BC133" s="158">
        <v>0</v>
      </c>
      <c r="BD133" s="158">
        <v>0</v>
      </c>
      <c r="BE133" s="158">
        <v>0</v>
      </c>
      <c r="BF133" s="160">
        <v>0</v>
      </c>
      <c r="BG133" s="383">
        <v>2023</v>
      </c>
      <c r="BH133" s="383">
        <v>1</v>
      </c>
      <c r="BI133" s="383">
        <v>19</v>
      </c>
      <c r="BK133" s="147" t="str">
        <f>IF(R133=SUM(Z133,AH133,AP133,AX133,BF133),"○","×")</f>
        <v>○</v>
      </c>
    </row>
    <row r="134" spans="1:63" x14ac:dyDescent="0.2">
      <c r="A134" s="428">
        <v>1323</v>
      </c>
      <c r="B134" s="429"/>
      <c r="C134" s="430"/>
      <c r="D134" s="429"/>
      <c r="E134" s="430"/>
      <c r="F134" s="429"/>
      <c r="G134" s="429"/>
      <c r="H134" s="430"/>
      <c r="I134" s="429"/>
      <c r="J134" s="429"/>
      <c r="K134" s="429"/>
      <c r="L134" s="383"/>
      <c r="M134" s="383" t="s">
        <v>557</v>
      </c>
      <c r="N134" s="383" t="s">
        <v>335</v>
      </c>
      <c r="O134" s="383" t="s">
        <v>341</v>
      </c>
      <c r="P134" s="383" t="s">
        <v>970</v>
      </c>
      <c r="Q134" s="383"/>
      <c r="R134" s="431">
        <v>727000</v>
      </c>
      <c r="S134" s="158">
        <v>0</v>
      </c>
      <c r="T134" s="158">
        <v>0</v>
      </c>
      <c r="U134" s="158">
        <v>0</v>
      </c>
      <c r="V134" s="158">
        <v>0</v>
      </c>
      <c r="W134" s="158">
        <v>0</v>
      </c>
      <c r="X134" s="158">
        <v>0</v>
      </c>
      <c r="Y134" s="158">
        <v>0</v>
      </c>
      <c r="Z134" s="158">
        <v>0</v>
      </c>
      <c r="AA134" s="432">
        <v>0</v>
      </c>
      <c r="AB134" s="432">
        <v>0</v>
      </c>
      <c r="AC134" s="432">
        <v>0</v>
      </c>
      <c r="AD134" s="432">
        <v>0</v>
      </c>
      <c r="AE134" s="432">
        <v>0</v>
      </c>
      <c r="AF134" s="432">
        <v>0</v>
      </c>
      <c r="AG134" s="432">
        <v>0</v>
      </c>
      <c r="AH134" s="432">
        <v>0</v>
      </c>
      <c r="AI134" s="158">
        <v>727090</v>
      </c>
      <c r="AJ134" s="158">
        <v>0</v>
      </c>
      <c r="AK134" s="158">
        <v>727090</v>
      </c>
      <c r="AL134" s="158">
        <v>727090</v>
      </c>
      <c r="AM134" s="158">
        <v>2980800</v>
      </c>
      <c r="AN134" s="158">
        <v>727090</v>
      </c>
      <c r="AO134" s="158">
        <v>727090</v>
      </c>
      <c r="AP134" s="158">
        <v>727000</v>
      </c>
      <c r="AQ134" s="432">
        <v>0</v>
      </c>
      <c r="AR134" s="432">
        <v>0</v>
      </c>
      <c r="AS134" s="432">
        <v>0</v>
      </c>
      <c r="AT134" s="432">
        <v>0</v>
      </c>
      <c r="AU134" s="432">
        <v>0</v>
      </c>
      <c r="AV134" s="432">
        <v>0</v>
      </c>
      <c r="AW134" s="432">
        <v>0</v>
      </c>
      <c r="AX134" s="432">
        <v>0</v>
      </c>
      <c r="AY134" s="158">
        <v>0</v>
      </c>
      <c r="AZ134" s="158">
        <v>0</v>
      </c>
      <c r="BA134" s="158">
        <v>0</v>
      </c>
      <c r="BB134" s="158">
        <v>0</v>
      </c>
      <c r="BC134" s="158">
        <v>0</v>
      </c>
      <c r="BD134" s="158">
        <v>0</v>
      </c>
      <c r="BE134" s="158">
        <v>0</v>
      </c>
      <c r="BF134" s="160">
        <v>0</v>
      </c>
      <c r="BG134" s="383">
        <v>2023</v>
      </c>
      <c r="BH134" s="383">
        <v>1</v>
      </c>
      <c r="BI134" s="383">
        <v>19</v>
      </c>
      <c r="BK134" s="147" t="str">
        <f>IF(R134=SUM(Z134,AH134,AP134,AX134,BF134),"○","×")</f>
        <v>○</v>
      </c>
    </row>
    <row r="135" spans="1:63" x14ac:dyDescent="0.2">
      <c r="A135" s="428">
        <v>1324</v>
      </c>
      <c r="B135" s="429"/>
      <c r="C135" s="430"/>
      <c r="D135" s="429"/>
      <c r="E135" s="430"/>
      <c r="F135" s="429"/>
      <c r="G135" s="429"/>
      <c r="H135" s="430"/>
      <c r="I135" s="429"/>
      <c r="J135" s="429"/>
      <c r="K135" s="429"/>
      <c r="L135" s="383"/>
      <c r="M135" s="383" t="s">
        <v>558</v>
      </c>
      <c r="N135" s="383" t="s">
        <v>323</v>
      </c>
      <c r="O135" s="383" t="s">
        <v>559</v>
      </c>
      <c r="P135" s="383" t="s">
        <v>970</v>
      </c>
      <c r="Q135" s="146"/>
      <c r="R135" s="431">
        <v>350000</v>
      </c>
      <c r="S135" s="158">
        <v>0</v>
      </c>
      <c r="T135" s="158">
        <v>0</v>
      </c>
      <c r="U135" s="158">
        <v>0</v>
      </c>
      <c r="V135" s="158">
        <v>0</v>
      </c>
      <c r="W135" s="158">
        <v>0</v>
      </c>
      <c r="X135" s="158">
        <v>0</v>
      </c>
      <c r="Y135" s="158">
        <v>0</v>
      </c>
      <c r="Z135" s="158">
        <v>0</v>
      </c>
      <c r="AA135" s="432">
        <v>0</v>
      </c>
      <c r="AB135" s="432">
        <v>0</v>
      </c>
      <c r="AC135" s="432">
        <v>0</v>
      </c>
      <c r="AD135" s="432">
        <v>0</v>
      </c>
      <c r="AE135" s="432">
        <v>0</v>
      </c>
      <c r="AF135" s="432">
        <v>0</v>
      </c>
      <c r="AG135" s="432">
        <v>0</v>
      </c>
      <c r="AH135" s="432">
        <v>0</v>
      </c>
      <c r="AI135" s="158">
        <v>350560</v>
      </c>
      <c r="AJ135" s="158">
        <v>0</v>
      </c>
      <c r="AK135" s="158">
        <v>350560</v>
      </c>
      <c r="AL135" s="158">
        <v>350560</v>
      </c>
      <c r="AM135" s="158">
        <v>3456000</v>
      </c>
      <c r="AN135" s="158">
        <v>350560</v>
      </c>
      <c r="AO135" s="158">
        <v>350560</v>
      </c>
      <c r="AP135" s="158">
        <v>350000</v>
      </c>
      <c r="AQ135" s="432">
        <v>0</v>
      </c>
      <c r="AR135" s="432">
        <v>0</v>
      </c>
      <c r="AS135" s="432">
        <v>0</v>
      </c>
      <c r="AT135" s="432">
        <v>0</v>
      </c>
      <c r="AU135" s="432">
        <v>0</v>
      </c>
      <c r="AV135" s="432">
        <v>0</v>
      </c>
      <c r="AW135" s="432">
        <v>0</v>
      </c>
      <c r="AX135" s="432">
        <v>0</v>
      </c>
      <c r="AY135" s="158">
        <v>0</v>
      </c>
      <c r="AZ135" s="158">
        <v>0</v>
      </c>
      <c r="BA135" s="158">
        <v>0</v>
      </c>
      <c r="BB135" s="158">
        <v>0</v>
      </c>
      <c r="BC135" s="158">
        <v>0</v>
      </c>
      <c r="BD135" s="158">
        <v>0</v>
      </c>
      <c r="BE135" s="158">
        <v>0</v>
      </c>
      <c r="BF135" s="160">
        <v>0</v>
      </c>
      <c r="BG135" s="383">
        <v>2023</v>
      </c>
      <c r="BH135" s="383">
        <v>1</v>
      </c>
      <c r="BI135" s="383">
        <v>19</v>
      </c>
      <c r="BK135" s="147" t="str">
        <f>IF(R135=SUM(Z135,AH135,AP135,AX135,BF135),"○","×")</f>
        <v>○</v>
      </c>
    </row>
    <row r="136" spans="1:63" x14ac:dyDescent="0.2">
      <c r="A136" s="428">
        <v>1325</v>
      </c>
      <c r="B136" s="429"/>
      <c r="C136" s="430"/>
      <c r="D136" s="429"/>
      <c r="E136" s="430"/>
      <c r="F136" s="429"/>
      <c r="G136" s="429"/>
      <c r="H136" s="430"/>
      <c r="I136" s="429"/>
      <c r="J136" s="429"/>
      <c r="K136" s="429"/>
      <c r="L136" s="383"/>
      <c r="M136" s="383" t="s">
        <v>407</v>
      </c>
      <c r="N136" s="383" t="s">
        <v>408</v>
      </c>
      <c r="O136" s="383" t="s">
        <v>409</v>
      </c>
      <c r="P136" s="383" t="s">
        <v>970</v>
      </c>
      <c r="Q136" s="383"/>
      <c r="R136" s="431">
        <v>1408000</v>
      </c>
      <c r="S136" s="158">
        <v>0</v>
      </c>
      <c r="T136" s="158">
        <v>0</v>
      </c>
      <c r="U136" s="158">
        <v>0</v>
      </c>
      <c r="V136" s="158">
        <v>0</v>
      </c>
      <c r="W136" s="158">
        <v>0</v>
      </c>
      <c r="X136" s="158">
        <v>0</v>
      </c>
      <c r="Y136" s="158">
        <v>0</v>
      </c>
      <c r="Z136" s="158">
        <v>0</v>
      </c>
      <c r="AA136" s="432">
        <v>0</v>
      </c>
      <c r="AB136" s="432">
        <v>0</v>
      </c>
      <c r="AC136" s="432">
        <v>0</v>
      </c>
      <c r="AD136" s="432">
        <v>0</v>
      </c>
      <c r="AE136" s="432">
        <v>0</v>
      </c>
      <c r="AF136" s="432">
        <v>0</v>
      </c>
      <c r="AG136" s="432">
        <v>0</v>
      </c>
      <c r="AH136" s="432">
        <v>0</v>
      </c>
      <c r="AI136" s="158">
        <v>1408330</v>
      </c>
      <c r="AJ136" s="158">
        <v>0</v>
      </c>
      <c r="AK136" s="158">
        <v>1408330</v>
      </c>
      <c r="AL136" s="158">
        <v>1408330</v>
      </c>
      <c r="AM136" s="158">
        <v>1555200</v>
      </c>
      <c r="AN136" s="158">
        <v>1408330</v>
      </c>
      <c r="AO136" s="158">
        <v>1408330</v>
      </c>
      <c r="AP136" s="158">
        <v>1408000</v>
      </c>
      <c r="AQ136" s="432">
        <v>0</v>
      </c>
      <c r="AR136" s="432">
        <v>0</v>
      </c>
      <c r="AS136" s="432">
        <v>0</v>
      </c>
      <c r="AT136" s="432">
        <v>0</v>
      </c>
      <c r="AU136" s="432">
        <v>0</v>
      </c>
      <c r="AV136" s="432">
        <v>0</v>
      </c>
      <c r="AW136" s="432">
        <v>0</v>
      </c>
      <c r="AX136" s="432">
        <v>0</v>
      </c>
      <c r="AY136" s="158">
        <v>0</v>
      </c>
      <c r="AZ136" s="158">
        <v>0</v>
      </c>
      <c r="BA136" s="158">
        <v>0</v>
      </c>
      <c r="BB136" s="158">
        <v>0</v>
      </c>
      <c r="BC136" s="158">
        <v>0</v>
      </c>
      <c r="BD136" s="158">
        <v>0</v>
      </c>
      <c r="BE136" s="158">
        <v>0</v>
      </c>
      <c r="BF136" s="160">
        <v>0</v>
      </c>
      <c r="BG136" s="383">
        <v>2023</v>
      </c>
      <c r="BH136" s="383">
        <v>1</v>
      </c>
      <c r="BI136" s="383">
        <v>19</v>
      </c>
      <c r="BK136" s="147" t="str">
        <f>IF(R136=SUM(Z136,AH136,AP136,AX136,BF136),"○","×")</f>
        <v>○</v>
      </c>
    </row>
    <row r="137" spans="1:63" x14ac:dyDescent="0.2">
      <c r="A137" s="428">
        <v>1326</v>
      </c>
      <c r="B137" s="429"/>
      <c r="C137" s="430"/>
      <c r="D137" s="429"/>
      <c r="E137" s="430"/>
      <c r="F137" s="429"/>
      <c r="G137" s="429"/>
      <c r="H137" s="430"/>
      <c r="I137" s="429"/>
      <c r="J137" s="429"/>
      <c r="K137" s="429"/>
      <c r="L137" s="383"/>
      <c r="M137" s="383" t="s">
        <v>560</v>
      </c>
      <c r="N137" s="383" t="s">
        <v>323</v>
      </c>
      <c r="O137" s="383" t="s">
        <v>561</v>
      </c>
      <c r="P137" s="383" t="s">
        <v>970</v>
      </c>
      <c r="Q137" s="383"/>
      <c r="R137" s="431">
        <v>379000</v>
      </c>
      <c r="S137" s="158">
        <v>0</v>
      </c>
      <c r="T137" s="158">
        <v>0</v>
      </c>
      <c r="U137" s="158">
        <v>0</v>
      </c>
      <c r="V137" s="158">
        <v>0</v>
      </c>
      <c r="W137" s="158">
        <v>0</v>
      </c>
      <c r="X137" s="158">
        <v>0</v>
      </c>
      <c r="Y137" s="158">
        <v>0</v>
      </c>
      <c r="Z137" s="158">
        <v>0</v>
      </c>
      <c r="AA137" s="432">
        <v>0</v>
      </c>
      <c r="AB137" s="432">
        <v>0</v>
      </c>
      <c r="AC137" s="432">
        <v>0</v>
      </c>
      <c r="AD137" s="432">
        <v>0</v>
      </c>
      <c r="AE137" s="432">
        <v>0</v>
      </c>
      <c r="AF137" s="432">
        <v>0</v>
      </c>
      <c r="AG137" s="432">
        <v>0</v>
      </c>
      <c r="AH137" s="432">
        <v>0</v>
      </c>
      <c r="AI137" s="158">
        <v>379800</v>
      </c>
      <c r="AJ137" s="158">
        <v>0</v>
      </c>
      <c r="AK137" s="158">
        <v>379800</v>
      </c>
      <c r="AL137" s="158">
        <v>379800</v>
      </c>
      <c r="AM137" s="158">
        <v>1306800</v>
      </c>
      <c r="AN137" s="158">
        <v>379800</v>
      </c>
      <c r="AO137" s="158">
        <v>379800</v>
      </c>
      <c r="AP137" s="158">
        <v>379000</v>
      </c>
      <c r="AQ137" s="432">
        <v>0</v>
      </c>
      <c r="AR137" s="432">
        <v>0</v>
      </c>
      <c r="AS137" s="432">
        <v>0</v>
      </c>
      <c r="AT137" s="432">
        <v>0</v>
      </c>
      <c r="AU137" s="432">
        <v>0</v>
      </c>
      <c r="AV137" s="432">
        <v>0</v>
      </c>
      <c r="AW137" s="432">
        <v>0</v>
      </c>
      <c r="AX137" s="432">
        <v>0</v>
      </c>
      <c r="AY137" s="158">
        <v>0</v>
      </c>
      <c r="AZ137" s="158">
        <v>0</v>
      </c>
      <c r="BA137" s="158">
        <v>0</v>
      </c>
      <c r="BB137" s="158">
        <v>0</v>
      </c>
      <c r="BC137" s="158">
        <v>0</v>
      </c>
      <c r="BD137" s="158">
        <v>0</v>
      </c>
      <c r="BE137" s="158">
        <v>0</v>
      </c>
      <c r="BF137" s="160">
        <v>0</v>
      </c>
      <c r="BG137" s="383">
        <v>2023</v>
      </c>
      <c r="BH137" s="383">
        <v>1</v>
      </c>
      <c r="BI137" s="383">
        <v>19</v>
      </c>
      <c r="BK137" s="147" t="str">
        <f>IF(R137=SUM(Z137,AH137,AP137,AX137,BF137),"○","×")</f>
        <v>○</v>
      </c>
    </row>
    <row r="138" spans="1:63" x14ac:dyDescent="0.2">
      <c r="A138" s="428">
        <v>1327</v>
      </c>
      <c r="B138" s="429"/>
      <c r="C138" s="430"/>
      <c r="D138" s="429"/>
      <c r="E138" s="430"/>
      <c r="F138" s="429"/>
      <c r="G138" s="429"/>
      <c r="H138" s="430"/>
      <c r="I138" s="429"/>
      <c r="J138" s="429"/>
      <c r="K138" s="429"/>
      <c r="L138" s="383"/>
      <c r="M138" s="383" t="s">
        <v>562</v>
      </c>
      <c r="N138" s="383" t="s">
        <v>470</v>
      </c>
      <c r="O138" s="383" t="s">
        <v>563</v>
      </c>
      <c r="P138" s="383" t="s">
        <v>970</v>
      </c>
      <c r="Q138" s="383"/>
      <c r="R138" s="431">
        <v>302000</v>
      </c>
      <c r="S138" s="158">
        <v>0</v>
      </c>
      <c r="T138" s="158">
        <v>0</v>
      </c>
      <c r="U138" s="158">
        <v>0</v>
      </c>
      <c r="V138" s="158">
        <v>0</v>
      </c>
      <c r="W138" s="158">
        <v>0</v>
      </c>
      <c r="X138" s="158">
        <v>0</v>
      </c>
      <c r="Y138" s="158">
        <v>0</v>
      </c>
      <c r="Z138" s="158">
        <v>0</v>
      </c>
      <c r="AA138" s="432">
        <v>0</v>
      </c>
      <c r="AB138" s="432">
        <v>0</v>
      </c>
      <c r="AC138" s="432">
        <v>0</v>
      </c>
      <c r="AD138" s="432">
        <v>0</v>
      </c>
      <c r="AE138" s="432">
        <v>0</v>
      </c>
      <c r="AF138" s="432">
        <v>0</v>
      </c>
      <c r="AG138" s="432">
        <v>0</v>
      </c>
      <c r="AH138" s="432">
        <v>0</v>
      </c>
      <c r="AI138" s="158">
        <v>302412</v>
      </c>
      <c r="AJ138" s="158">
        <v>0</v>
      </c>
      <c r="AK138" s="158">
        <v>302412</v>
      </c>
      <c r="AL138" s="158">
        <v>302412</v>
      </c>
      <c r="AM138" s="158">
        <v>2592000</v>
      </c>
      <c r="AN138" s="158">
        <v>302412</v>
      </c>
      <c r="AO138" s="158">
        <v>302412</v>
      </c>
      <c r="AP138" s="158">
        <v>302000</v>
      </c>
      <c r="AQ138" s="432">
        <v>0</v>
      </c>
      <c r="AR138" s="432">
        <v>0</v>
      </c>
      <c r="AS138" s="432">
        <v>0</v>
      </c>
      <c r="AT138" s="432">
        <v>0</v>
      </c>
      <c r="AU138" s="432">
        <v>0</v>
      </c>
      <c r="AV138" s="432">
        <v>0</v>
      </c>
      <c r="AW138" s="432">
        <v>0</v>
      </c>
      <c r="AX138" s="432">
        <v>0</v>
      </c>
      <c r="AY138" s="158">
        <v>0</v>
      </c>
      <c r="AZ138" s="158">
        <v>0</v>
      </c>
      <c r="BA138" s="158">
        <v>0</v>
      </c>
      <c r="BB138" s="158">
        <v>0</v>
      </c>
      <c r="BC138" s="158">
        <v>0</v>
      </c>
      <c r="BD138" s="158">
        <v>0</v>
      </c>
      <c r="BE138" s="158">
        <v>0</v>
      </c>
      <c r="BF138" s="160">
        <v>0</v>
      </c>
      <c r="BG138" s="383">
        <v>2023</v>
      </c>
      <c r="BH138" s="383">
        <v>1</v>
      </c>
      <c r="BI138" s="383">
        <v>19</v>
      </c>
      <c r="BK138" s="147" t="str">
        <f>IF(R138=SUM(Z138,AH138,AP138,AX138,BF138),"○","×")</f>
        <v>○</v>
      </c>
    </row>
    <row r="139" spans="1:63" x14ac:dyDescent="0.2">
      <c r="A139" s="428">
        <v>1328</v>
      </c>
      <c r="B139" s="429"/>
      <c r="C139" s="430"/>
      <c r="D139" s="429"/>
      <c r="E139" s="430"/>
      <c r="F139" s="429"/>
      <c r="G139" s="429"/>
      <c r="H139" s="430"/>
      <c r="I139" s="429"/>
      <c r="J139" s="429"/>
      <c r="K139" s="429"/>
      <c r="L139" s="383"/>
      <c r="M139" s="383" t="s">
        <v>564</v>
      </c>
      <c r="N139" s="383" t="s">
        <v>356</v>
      </c>
      <c r="O139" s="383" t="s">
        <v>565</v>
      </c>
      <c r="P139" s="383" t="s">
        <v>970</v>
      </c>
      <c r="Q139" s="383"/>
      <c r="R139" s="431">
        <v>501000</v>
      </c>
      <c r="S139" s="158">
        <v>0</v>
      </c>
      <c r="T139" s="158">
        <v>0</v>
      </c>
      <c r="U139" s="158">
        <v>0</v>
      </c>
      <c r="V139" s="158">
        <v>0</v>
      </c>
      <c r="W139" s="158">
        <v>0</v>
      </c>
      <c r="X139" s="158">
        <v>0</v>
      </c>
      <c r="Y139" s="158">
        <v>0</v>
      </c>
      <c r="Z139" s="158">
        <v>0</v>
      </c>
      <c r="AA139" s="432">
        <v>0</v>
      </c>
      <c r="AB139" s="432">
        <v>0</v>
      </c>
      <c r="AC139" s="432">
        <v>0</v>
      </c>
      <c r="AD139" s="432">
        <v>0</v>
      </c>
      <c r="AE139" s="432">
        <v>0</v>
      </c>
      <c r="AF139" s="432">
        <v>0</v>
      </c>
      <c r="AG139" s="432">
        <v>0</v>
      </c>
      <c r="AH139" s="432">
        <v>0</v>
      </c>
      <c r="AI139" s="158">
        <v>501916</v>
      </c>
      <c r="AJ139" s="158">
        <v>0</v>
      </c>
      <c r="AK139" s="158">
        <v>501916</v>
      </c>
      <c r="AL139" s="158">
        <v>501916</v>
      </c>
      <c r="AM139" s="158">
        <v>1544400</v>
      </c>
      <c r="AN139" s="158">
        <v>501916</v>
      </c>
      <c r="AO139" s="158">
        <v>501916</v>
      </c>
      <c r="AP139" s="158">
        <v>501000</v>
      </c>
      <c r="AQ139" s="432">
        <v>0</v>
      </c>
      <c r="AR139" s="432">
        <v>0</v>
      </c>
      <c r="AS139" s="432">
        <v>0</v>
      </c>
      <c r="AT139" s="432">
        <v>0</v>
      </c>
      <c r="AU139" s="432">
        <v>0</v>
      </c>
      <c r="AV139" s="432">
        <v>0</v>
      </c>
      <c r="AW139" s="432">
        <v>0</v>
      </c>
      <c r="AX139" s="432">
        <v>0</v>
      </c>
      <c r="AY139" s="158">
        <v>0</v>
      </c>
      <c r="AZ139" s="158">
        <v>0</v>
      </c>
      <c r="BA139" s="158">
        <v>0</v>
      </c>
      <c r="BB139" s="158">
        <v>0</v>
      </c>
      <c r="BC139" s="158">
        <v>0</v>
      </c>
      <c r="BD139" s="158">
        <v>0</v>
      </c>
      <c r="BE139" s="158">
        <v>0</v>
      </c>
      <c r="BF139" s="160">
        <v>0</v>
      </c>
      <c r="BG139" s="383">
        <v>2023</v>
      </c>
      <c r="BH139" s="383">
        <v>1</v>
      </c>
      <c r="BI139" s="383">
        <v>19</v>
      </c>
      <c r="BK139" s="147" t="str">
        <f>IF(R139=SUM(Z139,AH139,AP139,AX139,BF139),"○","×")</f>
        <v>○</v>
      </c>
    </row>
    <row r="140" spans="1:63" x14ac:dyDescent="0.2">
      <c r="A140" s="428">
        <v>1329</v>
      </c>
      <c r="B140" s="429"/>
      <c r="C140" s="430"/>
      <c r="D140" s="429"/>
      <c r="E140" s="430"/>
      <c r="F140" s="429"/>
      <c r="G140" s="429"/>
      <c r="H140" s="430"/>
      <c r="I140" s="429"/>
      <c r="J140" s="429"/>
      <c r="K140" s="429"/>
      <c r="L140" s="383"/>
      <c r="M140" s="383" t="s">
        <v>566</v>
      </c>
      <c r="N140" s="383" t="s">
        <v>567</v>
      </c>
      <c r="O140" s="383" t="s">
        <v>568</v>
      </c>
      <c r="P140" s="383" t="s">
        <v>970</v>
      </c>
      <c r="Q140" s="383"/>
      <c r="R140" s="431">
        <v>131000</v>
      </c>
      <c r="S140" s="158">
        <v>0</v>
      </c>
      <c r="T140" s="158">
        <v>0</v>
      </c>
      <c r="U140" s="158">
        <v>0</v>
      </c>
      <c r="V140" s="158">
        <v>0</v>
      </c>
      <c r="W140" s="158">
        <v>0</v>
      </c>
      <c r="X140" s="158">
        <v>0</v>
      </c>
      <c r="Y140" s="158">
        <v>0</v>
      </c>
      <c r="Z140" s="158">
        <v>0</v>
      </c>
      <c r="AA140" s="432">
        <v>0</v>
      </c>
      <c r="AB140" s="432">
        <v>0</v>
      </c>
      <c r="AC140" s="432">
        <v>0</v>
      </c>
      <c r="AD140" s="432">
        <v>0</v>
      </c>
      <c r="AE140" s="432">
        <v>0</v>
      </c>
      <c r="AF140" s="432">
        <v>0</v>
      </c>
      <c r="AG140" s="432">
        <v>0</v>
      </c>
      <c r="AH140" s="432">
        <v>0</v>
      </c>
      <c r="AI140" s="158">
        <v>131940</v>
      </c>
      <c r="AJ140" s="158">
        <v>0</v>
      </c>
      <c r="AK140" s="158">
        <v>131940</v>
      </c>
      <c r="AL140" s="158">
        <v>131940</v>
      </c>
      <c r="AM140" s="158">
        <v>885600</v>
      </c>
      <c r="AN140" s="158">
        <v>131940</v>
      </c>
      <c r="AO140" s="158">
        <v>131940</v>
      </c>
      <c r="AP140" s="158">
        <v>131000</v>
      </c>
      <c r="AQ140" s="432">
        <v>0</v>
      </c>
      <c r="AR140" s="432">
        <v>0</v>
      </c>
      <c r="AS140" s="432">
        <v>0</v>
      </c>
      <c r="AT140" s="432">
        <v>0</v>
      </c>
      <c r="AU140" s="432">
        <v>0</v>
      </c>
      <c r="AV140" s="432">
        <v>0</v>
      </c>
      <c r="AW140" s="432">
        <v>0</v>
      </c>
      <c r="AX140" s="432">
        <v>0</v>
      </c>
      <c r="AY140" s="158">
        <v>0</v>
      </c>
      <c r="AZ140" s="158">
        <v>0</v>
      </c>
      <c r="BA140" s="158">
        <v>0</v>
      </c>
      <c r="BB140" s="158">
        <v>0</v>
      </c>
      <c r="BC140" s="158">
        <v>0</v>
      </c>
      <c r="BD140" s="158">
        <v>0</v>
      </c>
      <c r="BE140" s="158">
        <v>0</v>
      </c>
      <c r="BF140" s="160">
        <v>0</v>
      </c>
      <c r="BG140" s="383">
        <v>2023</v>
      </c>
      <c r="BH140" s="383">
        <v>1</v>
      </c>
      <c r="BI140" s="383">
        <v>19</v>
      </c>
      <c r="BK140" s="147" t="str">
        <f>IF(R140=SUM(Z140,AH140,AP140,AX140,BF140),"○","×")</f>
        <v>○</v>
      </c>
    </row>
    <row r="141" spans="1:63" x14ac:dyDescent="0.2">
      <c r="A141" s="428">
        <v>1330</v>
      </c>
      <c r="B141" s="429"/>
      <c r="C141" s="430"/>
      <c r="D141" s="429"/>
      <c r="E141" s="430"/>
      <c r="F141" s="429"/>
      <c r="G141" s="429"/>
      <c r="H141" s="430"/>
      <c r="I141" s="429"/>
      <c r="J141" s="429"/>
      <c r="K141" s="429"/>
      <c r="L141" s="383"/>
      <c r="M141" s="383" t="s">
        <v>566</v>
      </c>
      <c r="N141" s="383" t="s">
        <v>567</v>
      </c>
      <c r="O141" s="383" t="s">
        <v>568</v>
      </c>
      <c r="P141" s="383" t="s">
        <v>970</v>
      </c>
      <c r="Q141" s="383"/>
      <c r="R141" s="431">
        <v>289000</v>
      </c>
      <c r="S141" s="158">
        <v>0</v>
      </c>
      <c r="T141" s="158">
        <v>0</v>
      </c>
      <c r="U141" s="158">
        <v>0</v>
      </c>
      <c r="V141" s="158">
        <v>0</v>
      </c>
      <c r="W141" s="158">
        <v>0</v>
      </c>
      <c r="X141" s="158">
        <v>0</v>
      </c>
      <c r="Y141" s="158">
        <v>0</v>
      </c>
      <c r="Z141" s="158">
        <v>0</v>
      </c>
      <c r="AA141" s="432">
        <v>0</v>
      </c>
      <c r="AB141" s="432">
        <v>0</v>
      </c>
      <c r="AC141" s="432">
        <v>0</v>
      </c>
      <c r="AD141" s="432">
        <v>0</v>
      </c>
      <c r="AE141" s="432">
        <v>0</v>
      </c>
      <c r="AF141" s="432">
        <v>0</v>
      </c>
      <c r="AG141" s="432">
        <v>0</v>
      </c>
      <c r="AH141" s="432">
        <v>0</v>
      </c>
      <c r="AI141" s="158">
        <v>289872</v>
      </c>
      <c r="AJ141" s="158">
        <v>0</v>
      </c>
      <c r="AK141" s="158">
        <v>289872</v>
      </c>
      <c r="AL141" s="158">
        <v>289872</v>
      </c>
      <c r="AM141" s="158">
        <v>1306800</v>
      </c>
      <c r="AN141" s="158">
        <v>289872</v>
      </c>
      <c r="AO141" s="158">
        <v>289872</v>
      </c>
      <c r="AP141" s="158">
        <v>289000</v>
      </c>
      <c r="AQ141" s="432">
        <v>0</v>
      </c>
      <c r="AR141" s="432">
        <v>0</v>
      </c>
      <c r="AS141" s="432">
        <v>0</v>
      </c>
      <c r="AT141" s="432">
        <v>0</v>
      </c>
      <c r="AU141" s="432">
        <v>0</v>
      </c>
      <c r="AV141" s="432">
        <v>0</v>
      </c>
      <c r="AW141" s="432">
        <v>0</v>
      </c>
      <c r="AX141" s="432">
        <v>0</v>
      </c>
      <c r="AY141" s="158">
        <v>0</v>
      </c>
      <c r="AZ141" s="158">
        <v>0</v>
      </c>
      <c r="BA141" s="158">
        <v>0</v>
      </c>
      <c r="BB141" s="158">
        <v>0</v>
      </c>
      <c r="BC141" s="158">
        <v>0</v>
      </c>
      <c r="BD141" s="158">
        <v>0</v>
      </c>
      <c r="BE141" s="158">
        <v>0</v>
      </c>
      <c r="BF141" s="160">
        <v>0</v>
      </c>
      <c r="BG141" s="383">
        <v>2023</v>
      </c>
      <c r="BH141" s="383">
        <v>1</v>
      </c>
      <c r="BI141" s="383">
        <v>19</v>
      </c>
      <c r="BK141" s="147" t="str">
        <f>IF(R141=SUM(Z141,AH141,AP141,AX141,BF141),"○","×")</f>
        <v>○</v>
      </c>
    </row>
    <row r="142" spans="1:63" x14ac:dyDescent="0.2">
      <c r="A142" s="428">
        <v>1331</v>
      </c>
      <c r="B142" s="429"/>
      <c r="C142" s="430"/>
      <c r="D142" s="429"/>
      <c r="E142" s="430"/>
      <c r="F142" s="429"/>
      <c r="G142" s="429"/>
      <c r="H142" s="430"/>
      <c r="I142" s="429"/>
      <c r="J142" s="429"/>
      <c r="K142" s="429"/>
      <c r="L142" s="383"/>
      <c r="M142" s="383" t="s">
        <v>569</v>
      </c>
      <c r="N142" s="383" t="s">
        <v>340</v>
      </c>
      <c r="O142" s="383" t="s">
        <v>333</v>
      </c>
      <c r="P142" s="383" t="s">
        <v>970</v>
      </c>
      <c r="Q142" s="383"/>
      <c r="R142" s="431">
        <v>66000</v>
      </c>
      <c r="S142" s="158">
        <v>0</v>
      </c>
      <c r="T142" s="158">
        <v>0</v>
      </c>
      <c r="U142" s="158">
        <v>0</v>
      </c>
      <c r="V142" s="158">
        <v>0</v>
      </c>
      <c r="W142" s="158">
        <v>0</v>
      </c>
      <c r="X142" s="158">
        <v>0</v>
      </c>
      <c r="Y142" s="158">
        <v>0</v>
      </c>
      <c r="Z142" s="158">
        <v>0</v>
      </c>
      <c r="AA142" s="432">
        <v>0</v>
      </c>
      <c r="AB142" s="432">
        <v>0</v>
      </c>
      <c r="AC142" s="432">
        <v>0</v>
      </c>
      <c r="AD142" s="432">
        <v>0</v>
      </c>
      <c r="AE142" s="432">
        <v>0</v>
      </c>
      <c r="AF142" s="432">
        <v>0</v>
      </c>
      <c r="AG142" s="432">
        <v>0</v>
      </c>
      <c r="AH142" s="432">
        <v>0</v>
      </c>
      <c r="AI142" s="158">
        <v>66594</v>
      </c>
      <c r="AJ142" s="158">
        <v>0</v>
      </c>
      <c r="AK142" s="158">
        <v>66594</v>
      </c>
      <c r="AL142" s="158">
        <v>66594</v>
      </c>
      <c r="AM142" s="158">
        <v>2088000</v>
      </c>
      <c r="AN142" s="158">
        <v>66594</v>
      </c>
      <c r="AO142" s="158">
        <v>66594</v>
      </c>
      <c r="AP142" s="158">
        <v>66000</v>
      </c>
      <c r="AQ142" s="432">
        <v>0</v>
      </c>
      <c r="AR142" s="432">
        <v>0</v>
      </c>
      <c r="AS142" s="432">
        <v>0</v>
      </c>
      <c r="AT142" s="432">
        <v>0</v>
      </c>
      <c r="AU142" s="432">
        <v>0</v>
      </c>
      <c r="AV142" s="432">
        <v>0</v>
      </c>
      <c r="AW142" s="432">
        <v>0</v>
      </c>
      <c r="AX142" s="432">
        <v>0</v>
      </c>
      <c r="AY142" s="158">
        <v>0</v>
      </c>
      <c r="AZ142" s="158">
        <v>0</v>
      </c>
      <c r="BA142" s="158">
        <v>0</v>
      </c>
      <c r="BB142" s="158">
        <v>0</v>
      </c>
      <c r="BC142" s="158">
        <v>0</v>
      </c>
      <c r="BD142" s="158">
        <v>0</v>
      </c>
      <c r="BE142" s="158">
        <v>0</v>
      </c>
      <c r="BF142" s="160">
        <v>0</v>
      </c>
      <c r="BG142" s="383">
        <v>2023</v>
      </c>
      <c r="BH142" s="383">
        <v>1</v>
      </c>
      <c r="BI142" s="383">
        <v>19</v>
      </c>
      <c r="BK142" s="147" t="str">
        <f>IF(R142=SUM(Z142,AH142,AP142,AX142,BF142),"○","×")</f>
        <v>○</v>
      </c>
    </row>
    <row r="143" spans="1:63" x14ac:dyDescent="0.2">
      <c r="A143" s="428">
        <v>1332</v>
      </c>
      <c r="B143" s="429"/>
      <c r="C143" s="430"/>
      <c r="D143" s="429"/>
      <c r="E143" s="430"/>
      <c r="F143" s="429"/>
      <c r="G143" s="429"/>
      <c r="H143" s="430"/>
      <c r="I143" s="429"/>
      <c r="J143" s="429"/>
      <c r="K143" s="429"/>
      <c r="L143" s="383"/>
      <c r="M143" s="383" t="s">
        <v>514</v>
      </c>
      <c r="N143" s="383" t="s">
        <v>343</v>
      </c>
      <c r="O143" s="383" t="s">
        <v>515</v>
      </c>
      <c r="P143" s="383" t="s">
        <v>970</v>
      </c>
      <c r="Q143" s="146"/>
      <c r="R143" s="431">
        <v>378000</v>
      </c>
      <c r="S143" s="158">
        <v>0</v>
      </c>
      <c r="T143" s="158">
        <v>0</v>
      </c>
      <c r="U143" s="158">
        <v>0</v>
      </c>
      <c r="V143" s="158">
        <v>0</v>
      </c>
      <c r="W143" s="158">
        <v>0</v>
      </c>
      <c r="X143" s="158">
        <v>0</v>
      </c>
      <c r="Y143" s="158">
        <v>0</v>
      </c>
      <c r="Z143" s="158">
        <v>0</v>
      </c>
      <c r="AA143" s="432">
        <v>0</v>
      </c>
      <c r="AB143" s="432">
        <v>0</v>
      </c>
      <c r="AC143" s="432">
        <v>0</v>
      </c>
      <c r="AD143" s="432">
        <v>0</v>
      </c>
      <c r="AE143" s="432">
        <v>0</v>
      </c>
      <c r="AF143" s="432">
        <v>0</v>
      </c>
      <c r="AG143" s="432">
        <v>0</v>
      </c>
      <c r="AH143" s="432">
        <v>0</v>
      </c>
      <c r="AI143" s="158">
        <v>378056</v>
      </c>
      <c r="AJ143" s="158">
        <v>0</v>
      </c>
      <c r="AK143" s="158">
        <v>378056</v>
      </c>
      <c r="AL143" s="158">
        <v>378056</v>
      </c>
      <c r="AM143" s="158">
        <v>2700000</v>
      </c>
      <c r="AN143" s="158">
        <v>378056</v>
      </c>
      <c r="AO143" s="158">
        <v>378056</v>
      </c>
      <c r="AP143" s="158">
        <v>378000</v>
      </c>
      <c r="AQ143" s="432">
        <v>0</v>
      </c>
      <c r="AR143" s="432">
        <v>0</v>
      </c>
      <c r="AS143" s="432">
        <v>0</v>
      </c>
      <c r="AT143" s="432">
        <v>0</v>
      </c>
      <c r="AU143" s="432">
        <v>0</v>
      </c>
      <c r="AV143" s="432">
        <v>0</v>
      </c>
      <c r="AW143" s="432">
        <v>0</v>
      </c>
      <c r="AX143" s="432">
        <v>0</v>
      </c>
      <c r="AY143" s="158">
        <v>0</v>
      </c>
      <c r="AZ143" s="158">
        <v>0</v>
      </c>
      <c r="BA143" s="158">
        <v>0</v>
      </c>
      <c r="BB143" s="158">
        <v>0</v>
      </c>
      <c r="BC143" s="158">
        <v>0</v>
      </c>
      <c r="BD143" s="158">
        <v>0</v>
      </c>
      <c r="BE143" s="158">
        <v>0</v>
      </c>
      <c r="BF143" s="160">
        <v>0</v>
      </c>
      <c r="BG143" s="383">
        <v>2023</v>
      </c>
      <c r="BH143" s="383">
        <v>1</v>
      </c>
      <c r="BI143" s="383">
        <v>19</v>
      </c>
      <c r="BK143" s="147" t="str">
        <f>IF(R143=SUM(Z143,AH143,AP143,AX143,BF143),"○","×")</f>
        <v>○</v>
      </c>
    </row>
    <row r="144" spans="1:63" x14ac:dyDescent="0.2">
      <c r="A144" s="428">
        <v>1333</v>
      </c>
      <c r="B144" s="429"/>
      <c r="C144" s="430"/>
      <c r="D144" s="429"/>
      <c r="E144" s="430"/>
      <c r="F144" s="429"/>
      <c r="G144" s="429"/>
      <c r="H144" s="430"/>
      <c r="I144" s="429"/>
      <c r="J144" s="429"/>
      <c r="K144" s="429"/>
      <c r="L144" s="383"/>
      <c r="M144" s="383" t="s">
        <v>413</v>
      </c>
      <c r="N144" s="383" t="s">
        <v>323</v>
      </c>
      <c r="O144" s="383" t="s">
        <v>414</v>
      </c>
      <c r="P144" s="383" t="s">
        <v>970</v>
      </c>
      <c r="Q144" s="146"/>
      <c r="R144" s="431">
        <v>2545000</v>
      </c>
      <c r="S144" s="158">
        <v>0</v>
      </c>
      <c r="T144" s="158">
        <v>0</v>
      </c>
      <c r="U144" s="158">
        <v>0</v>
      </c>
      <c r="V144" s="158">
        <v>0</v>
      </c>
      <c r="W144" s="158">
        <v>0</v>
      </c>
      <c r="X144" s="158">
        <v>0</v>
      </c>
      <c r="Y144" s="158">
        <v>0</v>
      </c>
      <c r="Z144" s="158">
        <v>0</v>
      </c>
      <c r="AA144" s="432">
        <v>0</v>
      </c>
      <c r="AB144" s="432">
        <v>0</v>
      </c>
      <c r="AC144" s="432">
        <v>0</v>
      </c>
      <c r="AD144" s="432">
        <v>0</v>
      </c>
      <c r="AE144" s="432">
        <v>0</v>
      </c>
      <c r="AF144" s="432">
        <v>0</v>
      </c>
      <c r="AG144" s="432">
        <v>0</v>
      </c>
      <c r="AH144" s="432">
        <v>0</v>
      </c>
      <c r="AI144" s="158">
        <v>2545157</v>
      </c>
      <c r="AJ144" s="158">
        <v>0</v>
      </c>
      <c r="AK144" s="158">
        <v>2545157</v>
      </c>
      <c r="AL144" s="158">
        <v>2545157</v>
      </c>
      <c r="AM144" s="158">
        <v>3931200</v>
      </c>
      <c r="AN144" s="158">
        <v>2545157</v>
      </c>
      <c r="AO144" s="158">
        <v>2545157</v>
      </c>
      <c r="AP144" s="158">
        <v>2545000</v>
      </c>
      <c r="AQ144" s="432">
        <v>0</v>
      </c>
      <c r="AR144" s="432">
        <v>0</v>
      </c>
      <c r="AS144" s="432">
        <v>0</v>
      </c>
      <c r="AT144" s="432">
        <v>0</v>
      </c>
      <c r="AU144" s="432">
        <v>0</v>
      </c>
      <c r="AV144" s="432">
        <v>0</v>
      </c>
      <c r="AW144" s="432">
        <v>0</v>
      </c>
      <c r="AX144" s="432">
        <v>0</v>
      </c>
      <c r="AY144" s="158">
        <v>0</v>
      </c>
      <c r="AZ144" s="158">
        <v>0</v>
      </c>
      <c r="BA144" s="158">
        <v>0</v>
      </c>
      <c r="BB144" s="158">
        <v>0</v>
      </c>
      <c r="BC144" s="158">
        <v>0</v>
      </c>
      <c r="BD144" s="158">
        <v>0</v>
      </c>
      <c r="BE144" s="158">
        <v>0</v>
      </c>
      <c r="BF144" s="160">
        <v>0</v>
      </c>
      <c r="BG144" s="383">
        <v>2023</v>
      </c>
      <c r="BH144" s="383">
        <v>1</v>
      </c>
      <c r="BI144" s="383">
        <v>19</v>
      </c>
      <c r="BK144" s="147" t="str">
        <f>IF(R144=SUM(Z144,AH144,AP144,AX144,BF144),"○","×")</f>
        <v>○</v>
      </c>
    </row>
    <row r="145" spans="1:63" x14ac:dyDescent="0.2">
      <c r="A145" s="428">
        <v>1334</v>
      </c>
      <c r="B145" s="429"/>
      <c r="C145" s="430"/>
      <c r="D145" s="429"/>
      <c r="E145" s="430"/>
      <c r="F145" s="429"/>
      <c r="G145" s="429"/>
      <c r="H145" s="430"/>
      <c r="I145" s="429"/>
      <c r="J145" s="429"/>
      <c r="K145" s="429"/>
      <c r="L145" s="383"/>
      <c r="M145" s="383" t="s">
        <v>570</v>
      </c>
      <c r="N145" s="383" t="s">
        <v>372</v>
      </c>
      <c r="O145" s="383" t="s">
        <v>571</v>
      </c>
      <c r="P145" s="383" t="s">
        <v>970</v>
      </c>
      <c r="Q145" s="383"/>
      <c r="R145" s="431">
        <v>115000</v>
      </c>
      <c r="S145" s="158">
        <v>0</v>
      </c>
      <c r="T145" s="158">
        <v>0</v>
      </c>
      <c r="U145" s="158">
        <v>0</v>
      </c>
      <c r="V145" s="158">
        <v>0</v>
      </c>
      <c r="W145" s="158">
        <v>0</v>
      </c>
      <c r="X145" s="158">
        <v>0</v>
      </c>
      <c r="Y145" s="158">
        <v>0</v>
      </c>
      <c r="Z145" s="158">
        <v>0</v>
      </c>
      <c r="AA145" s="432">
        <v>0</v>
      </c>
      <c r="AB145" s="432">
        <v>0</v>
      </c>
      <c r="AC145" s="432">
        <v>0</v>
      </c>
      <c r="AD145" s="432">
        <v>0</v>
      </c>
      <c r="AE145" s="432">
        <v>0</v>
      </c>
      <c r="AF145" s="432">
        <v>0</v>
      </c>
      <c r="AG145" s="432">
        <v>0</v>
      </c>
      <c r="AH145" s="432">
        <v>0</v>
      </c>
      <c r="AI145" s="158">
        <v>115420</v>
      </c>
      <c r="AJ145" s="158">
        <v>0</v>
      </c>
      <c r="AK145" s="158">
        <v>115420</v>
      </c>
      <c r="AL145" s="158">
        <v>115420</v>
      </c>
      <c r="AM145" s="158">
        <v>3704400</v>
      </c>
      <c r="AN145" s="158">
        <v>115420</v>
      </c>
      <c r="AO145" s="158">
        <v>115420</v>
      </c>
      <c r="AP145" s="158">
        <v>115000</v>
      </c>
      <c r="AQ145" s="432">
        <v>0</v>
      </c>
      <c r="AR145" s="432">
        <v>0</v>
      </c>
      <c r="AS145" s="432">
        <v>0</v>
      </c>
      <c r="AT145" s="432">
        <v>0</v>
      </c>
      <c r="AU145" s="432">
        <v>0</v>
      </c>
      <c r="AV145" s="432">
        <v>0</v>
      </c>
      <c r="AW145" s="432">
        <v>0</v>
      </c>
      <c r="AX145" s="432">
        <v>0</v>
      </c>
      <c r="AY145" s="158">
        <v>0</v>
      </c>
      <c r="AZ145" s="158">
        <v>0</v>
      </c>
      <c r="BA145" s="158">
        <v>0</v>
      </c>
      <c r="BB145" s="158">
        <v>0</v>
      </c>
      <c r="BC145" s="158">
        <v>0</v>
      </c>
      <c r="BD145" s="158">
        <v>0</v>
      </c>
      <c r="BE145" s="158">
        <v>0</v>
      </c>
      <c r="BF145" s="160">
        <v>0</v>
      </c>
      <c r="BG145" s="383">
        <v>2023</v>
      </c>
      <c r="BH145" s="383">
        <v>1</v>
      </c>
      <c r="BI145" s="383">
        <v>19</v>
      </c>
      <c r="BK145" s="147" t="str">
        <f>IF(R145=SUM(Z145,AH145,AP145,AX145,BF145),"○","×")</f>
        <v>○</v>
      </c>
    </row>
    <row r="146" spans="1:63" x14ac:dyDescent="0.2">
      <c r="A146" s="428">
        <v>1335</v>
      </c>
      <c r="B146" s="429"/>
      <c r="C146" s="430"/>
      <c r="D146" s="429"/>
      <c r="E146" s="430"/>
      <c r="F146" s="429"/>
      <c r="G146" s="429"/>
      <c r="H146" s="430"/>
      <c r="I146" s="429"/>
      <c r="J146" s="429"/>
      <c r="K146" s="429"/>
      <c r="L146" s="383"/>
      <c r="M146" s="383" t="s">
        <v>572</v>
      </c>
      <c r="N146" s="383" t="s">
        <v>547</v>
      </c>
      <c r="O146" s="383" t="s">
        <v>573</v>
      </c>
      <c r="P146" s="383" t="s">
        <v>970</v>
      </c>
      <c r="Q146" s="383"/>
      <c r="R146" s="431">
        <v>449000</v>
      </c>
      <c r="S146" s="158">
        <v>0</v>
      </c>
      <c r="T146" s="158">
        <v>0</v>
      </c>
      <c r="U146" s="158">
        <v>0</v>
      </c>
      <c r="V146" s="158">
        <v>0</v>
      </c>
      <c r="W146" s="158">
        <v>0</v>
      </c>
      <c r="X146" s="158">
        <v>0</v>
      </c>
      <c r="Y146" s="158">
        <v>0</v>
      </c>
      <c r="Z146" s="158">
        <v>0</v>
      </c>
      <c r="AA146" s="432">
        <v>0</v>
      </c>
      <c r="AB146" s="432">
        <v>0</v>
      </c>
      <c r="AC146" s="432">
        <v>0</v>
      </c>
      <c r="AD146" s="432">
        <v>0</v>
      </c>
      <c r="AE146" s="432">
        <v>0</v>
      </c>
      <c r="AF146" s="432">
        <v>0</v>
      </c>
      <c r="AG146" s="432">
        <v>0</v>
      </c>
      <c r="AH146" s="432">
        <v>0</v>
      </c>
      <c r="AI146" s="158">
        <v>449878</v>
      </c>
      <c r="AJ146" s="158">
        <v>0</v>
      </c>
      <c r="AK146" s="158">
        <v>449878</v>
      </c>
      <c r="AL146" s="158">
        <v>449878</v>
      </c>
      <c r="AM146" s="158">
        <v>4791600</v>
      </c>
      <c r="AN146" s="158">
        <v>449878</v>
      </c>
      <c r="AO146" s="158">
        <v>449878</v>
      </c>
      <c r="AP146" s="158">
        <v>449000</v>
      </c>
      <c r="AQ146" s="432">
        <v>0</v>
      </c>
      <c r="AR146" s="432">
        <v>0</v>
      </c>
      <c r="AS146" s="432">
        <v>0</v>
      </c>
      <c r="AT146" s="432">
        <v>0</v>
      </c>
      <c r="AU146" s="432">
        <v>0</v>
      </c>
      <c r="AV146" s="432">
        <v>0</v>
      </c>
      <c r="AW146" s="432">
        <v>0</v>
      </c>
      <c r="AX146" s="432">
        <v>0</v>
      </c>
      <c r="AY146" s="158">
        <v>0</v>
      </c>
      <c r="AZ146" s="158">
        <v>0</v>
      </c>
      <c r="BA146" s="158">
        <v>0</v>
      </c>
      <c r="BB146" s="158">
        <v>0</v>
      </c>
      <c r="BC146" s="158">
        <v>0</v>
      </c>
      <c r="BD146" s="158">
        <v>0</v>
      </c>
      <c r="BE146" s="158">
        <v>0</v>
      </c>
      <c r="BF146" s="160">
        <v>0</v>
      </c>
      <c r="BG146" s="383">
        <v>2023</v>
      </c>
      <c r="BH146" s="383">
        <v>1</v>
      </c>
      <c r="BI146" s="383">
        <v>19</v>
      </c>
      <c r="BK146" s="147" t="str">
        <f>IF(R146=SUM(Z146,AH146,AP146,AX146,BF146),"○","×")</f>
        <v>○</v>
      </c>
    </row>
    <row r="147" spans="1:63" x14ac:dyDescent="0.2">
      <c r="A147" s="428">
        <v>1336</v>
      </c>
      <c r="B147" s="429"/>
      <c r="C147" s="430"/>
      <c r="D147" s="429"/>
      <c r="E147" s="430"/>
      <c r="F147" s="429"/>
      <c r="G147" s="429"/>
      <c r="H147" s="430"/>
      <c r="I147" s="429"/>
      <c r="J147" s="429"/>
      <c r="K147" s="429"/>
      <c r="L147" s="383"/>
      <c r="M147" s="383" t="s">
        <v>574</v>
      </c>
      <c r="N147" s="383" t="s">
        <v>356</v>
      </c>
      <c r="O147" s="383" t="s">
        <v>418</v>
      </c>
      <c r="P147" s="383" t="s">
        <v>970</v>
      </c>
      <c r="Q147" s="383"/>
      <c r="R147" s="431">
        <v>508000</v>
      </c>
      <c r="S147" s="158">
        <v>0</v>
      </c>
      <c r="T147" s="158">
        <v>0</v>
      </c>
      <c r="U147" s="158">
        <v>0</v>
      </c>
      <c r="V147" s="158">
        <v>0</v>
      </c>
      <c r="W147" s="158">
        <v>0</v>
      </c>
      <c r="X147" s="158">
        <v>0</v>
      </c>
      <c r="Y147" s="158">
        <v>0</v>
      </c>
      <c r="Z147" s="158">
        <v>0</v>
      </c>
      <c r="AA147" s="432">
        <v>0</v>
      </c>
      <c r="AB147" s="432">
        <v>0</v>
      </c>
      <c r="AC147" s="432">
        <v>0</v>
      </c>
      <c r="AD147" s="432">
        <v>0</v>
      </c>
      <c r="AE147" s="432">
        <v>0</v>
      </c>
      <c r="AF147" s="432">
        <v>0</v>
      </c>
      <c r="AG147" s="432">
        <v>0</v>
      </c>
      <c r="AH147" s="432">
        <v>0</v>
      </c>
      <c r="AI147" s="158">
        <v>508882</v>
      </c>
      <c r="AJ147" s="158">
        <v>0</v>
      </c>
      <c r="AK147" s="158">
        <v>508882</v>
      </c>
      <c r="AL147" s="158">
        <v>508882</v>
      </c>
      <c r="AM147" s="158">
        <v>5436000</v>
      </c>
      <c r="AN147" s="158">
        <v>508882</v>
      </c>
      <c r="AO147" s="158">
        <v>508882</v>
      </c>
      <c r="AP147" s="158">
        <v>508000</v>
      </c>
      <c r="AQ147" s="432">
        <v>0</v>
      </c>
      <c r="AR147" s="432">
        <v>0</v>
      </c>
      <c r="AS147" s="432">
        <v>0</v>
      </c>
      <c r="AT147" s="432">
        <v>0</v>
      </c>
      <c r="AU147" s="432">
        <v>0</v>
      </c>
      <c r="AV147" s="432">
        <v>0</v>
      </c>
      <c r="AW147" s="432">
        <v>0</v>
      </c>
      <c r="AX147" s="432">
        <v>0</v>
      </c>
      <c r="AY147" s="158">
        <v>0</v>
      </c>
      <c r="AZ147" s="158">
        <v>0</v>
      </c>
      <c r="BA147" s="158">
        <v>0</v>
      </c>
      <c r="BB147" s="158">
        <v>0</v>
      </c>
      <c r="BC147" s="158">
        <v>0</v>
      </c>
      <c r="BD147" s="158">
        <v>0</v>
      </c>
      <c r="BE147" s="158">
        <v>0</v>
      </c>
      <c r="BF147" s="160">
        <v>0</v>
      </c>
      <c r="BG147" s="383">
        <v>2023</v>
      </c>
      <c r="BH147" s="383">
        <v>1</v>
      </c>
      <c r="BI147" s="383">
        <v>19</v>
      </c>
      <c r="BK147" s="147" t="str">
        <f>IF(R147=SUM(Z147,AH147,AP147,AX147,BF147),"○","×")</f>
        <v>○</v>
      </c>
    </row>
    <row r="148" spans="1:63" x14ac:dyDescent="0.2">
      <c r="A148" s="428">
        <v>1337</v>
      </c>
      <c r="B148" s="429"/>
      <c r="C148" s="430"/>
      <c r="D148" s="429"/>
      <c r="E148" s="430"/>
      <c r="F148" s="429"/>
      <c r="G148" s="429"/>
      <c r="H148" s="430"/>
      <c r="I148" s="429"/>
      <c r="J148" s="429"/>
      <c r="K148" s="429"/>
      <c r="L148" s="383"/>
      <c r="M148" s="383" t="s">
        <v>575</v>
      </c>
      <c r="N148" s="383" t="s">
        <v>323</v>
      </c>
      <c r="O148" s="383" t="s">
        <v>576</v>
      </c>
      <c r="P148" s="383" t="s">
        <v>970</v>
      </c>
      <c r="Q148" s="146"/>
      <c r="R148" s="431">
        <v>106000</v>
      </c>
      <c r="S148" s="158">
        <v>0</v>
      </c>
      <c r="T148" s="158">
        <v>0</v>
      </c>
      <c r="U148" s="158">
        <v>0</v>
      </c>
      <c r="V148" s="158">
        <v>0</v>
      </c>
      <c r="W148" s="158">
        <v>0</v>
      </c>
      <c r="X148" s="158">
        <v>0</v>
      </c>
      <c r="Y148" s="158">
        <v>0</v>
      </c>
      <c r="Z148" s="158">
        <v>0</v>
      </c>
      <c r="AA148" s="432">
        <v>0</v>
      </c>
      <c r="AB148" s="432">
        <v>0</v>
      </c>
      <c r="AC148" s="432">
        <v>0</v>
      </c>
      <c r="AD148" s="432">
        <v>0</v>
      </c>
      <c r="AE148" s="432">
        <v>0</v>
      </c>
      <c r="AF148" s="432">
        <v>0</v>
      </c>
      <c r="AG148" s="432">
        <v>0</v>
      </c>
      <c r="AH148" s="432">
        <v>0</v>
      </c>
      <c r="AI148" s="158">
        <v>106876</v>
      </c>
      <c r="AJ148" s="158">
        <v>0</v>
      </c>
      <c r="AK148" s="158">
        <v>106876</v>
      </c>
      <c r="AL148" s="158">
        <v>106876</v>
      </c>
      <c r="AM148" s="158">
        <v>5148000</v>
      </c>
      <c r="AN148" s="158">
        <v>106876</v>
      </c>
      <c r="AO148" s="158">
        <v>106876</v>
      </c>
      <c r="AP148" s="158">
        <v>106000</v>
      </c>
      <c r="AQ148" s="432">
        <v>0</v>
      </c>
      <c r="AR148" s="432">
        <v>0</v>
      </c>
      <c r="AS148" s="432">
        <v>0</v>
      </c>
      <c r="AT148" s="432">
        <v>0</v>
      </c>
      <c r="AU148" s="432">
        <v>0</v>
      </c>
      <c r="AV148" s="432">
        <v>0</v>
      </c>
      <c r="AW148" s="432">
        <v>0</v>
      </c>
      <c r="AX148" s="432">
        <v>0</v>
      </c>
      <c r="AY148" s="158">
        <v>0</v>
      </c>
      <c r="AZ148" s="158">
        <v>0</v>
      </c>
      <c r="BA148" s="158">
        <v>0</v>
      </c>
      <c r="BB148" s="158">
        <v>0</v>
      </c>
      <c r="BC148" s="158">
        <v>0</v>
      </c>
      <c r="BD148" s="158">
        <v>0</v>
      </c>
      <c r="BE148" s="158">
        <v>0</v>
      </c>
      <c r="BF148" s="160">
        <v>0</v>
      </c>
      <c r="BG148" s="383">
        <v>2023</v>
      </c>
      <c r="BH148" s="383">
        <v>1</v>
      </c>
      <c r="BI148" s="383">
        <v>19</v>
      </c>
      <c r="BK148" s="147" t="str">
        <f>IF(R148=SUM(Z148,AH148,AP148,AX148,BF148),"○","×")</f>
        <v>○</v>
      </c>
    </row>
    <row r="149" spans="1:63" x14ac:dyDescent="0.2">
      <c r="A149" s="428">
        <v>1338</v>
      </c>
      <c r="B149" s="429"/>
      <c r="C149" s="430"/>
      <c r="D149" s="429"/>
      <c r="E149" s="430"/>
      <c r="F149" s="429"/>
      <c r="G149" s="429"/>
      <c r="H149" s="430"/>
      <c r="I149" s="429"/>
      <c r="J149" s="429"/>
      <c r="K149" s="429"/>
      <c r="L149" s="383"/>
      <c r="M149" s="383" t="s">
        <v>577</v>
      </c>
      <c r="N149" s="383" t="s">
        <v>326</v>
      </c>
      <c r="O149" s="383" t="s">
        <v>578</v>
      </c>
      <c r="P149" s="383" t="s">
        <v>970</v>
      </c>
      <c r="Q149" s="383"/>
      <c r="R149" s="431">
        <v>114000</v>
      </c>
      <c r="S149" s="158">
        <v>0</v>
      </c>
      <c r="T149" s="158">
        <v>0</v>
      </c>
      <c r="U149" s="158">
        <v>0</v>
      </c>
      <c r="V149" s="158">
        <v>0</v>
      </c>
      <c r="W149" s="158">
        <v>0</v>
      </c>
      <c r="X149" s="158">
        <v>0</v>
      </c>
      <c r="Y149" s="158">
        <v>0</v>
      </c>
      <c r="Z149" s="158">
        <v>0</v>
      </c>
      <c r="AA149" s="432">
        <v>0</v>
      </c>
      <c r="AB149" s="432">
        <v>0</v>
      </c>
      <c r="AC149" s="432">
        <v>0</v>
      </c>
      <c r="AD149" s="432">
        <v>0</v>
      </c>
      <c r="AE149" s="432">
        <v>0</v>
      </c>
      <c r="AF149" s="432">
        <v>0</v>
      </c>
      <c r="AG149" s="432">
        <v>0</v>
      </c>
      <c r="AH149" s="432">
        <v>0</v>
      </c>
      <c r="AI149" s="158">
        <v>114400</v>
      </c>
      <c r="AJ149" s="158">
        <v>0</v>
      </c>
      <c r="AK149" s="158">
        <v>114400</v>
      </c>
      <c r="AL149" s="158">
        <v>114400</v>
      </c>
      <c r="AM149" s="158">
        <v>1742400</v>
      </c>
      <c r="AN149" s="158">
        <v>114400</v>
      </c>
      <c r="AO149" s="158">
        <v>114400</v>
      </c>
      <c r="AP149" s="158">
        <v>114000</v>
      </c>
      <c r="AQ149" s="432">
        <v>0</v>
      </c>
      <c r="AR149" s="432">
        <v>0</v>
      </c>
      <c r="AS149" s="432">
        <v>0</v>
      </c>
      <c r="AT149" s="432">
        <v>0</v>
      </c>
      <c r="AU149" s="432">
        <v>0</v>
      </c>
      <c r="AV149" s="432">
        <v>0</v>
      </c>
      <c r="AW149" s="432">
        <v>0</v>
      </c>
      <c r="AX149" s="432">
        <v>0</v>
      </c>
      <c r="AY149" s="158">
        <v>0</v>
      </c>
      <c r="AZ149" s="158">
        <v>0</v>
      </c>
      <c r="BA149" s="158">
        <v>0</v>
      </c>
      <c r="BB149" s="158">
        <v>0</v>
      </c>
      <c r="BC149" s="158">
        <v>0</v>
      </c>
      <c r="BD149" s="158">
        <v>0</v>
      </c>
      <c r="BE149" s="158">
        <v>0</v>
      </c>
      <c r="BF149" s="160">
        <v>0</v>
      </c>
      <c r="BG149" s="383">
        <v>2023</v>
      </c>
      <c r="BH149" s="383">
        <v>1</v>
      </c>
      <c r="BI149" s="383">
        <v>19</v>
      </c>
      <c r="BK149" s="147" t="str">
        <f>IF(R149=SUM(Z149,AH149,AP149,AX149,BF149),"○","×")</f>
        <v>○</v>
      </c>
    </row>
    <row r="150" spans="1:63" x14ac:dyDescent="0.2">
      <c r="A150" s="428">
        <v>1339</v>
      </c>
      <c r="B150" s="429"/>
      <c r="C150" s="430"/>
      <c r="D150" s="429"/>
      <c r="E150" s="430"/>
      <c r="F150" s="429"/>
      <c r="G150" s="429"/>
      <c r="H150" s="430"/>
      <c r="I150" s="429"/>
      <c r="J150" s="429"/>
      <c r="K150" s="429"/>
      <c r="L150" s="383"/>
      <c r="M150" s="383" t="s">
        <v>579</v>
      </c>
      <c r="N150" s="383" t="s">
        <v>367</v>
      </c>
      <c r="O150" s="383" t="s">
        <v>382</v>
      </c>
      <c r="P150" s="383" t="s">
        <v>970</v>
      </c>
      <c r="Q150" s="146"/>
      <c r="R150" s="431">
        <v>42000</v>
      </c>
      <c r="S150" s="158">
        <v>0</v>
      </c>
      <c r="T150" s="158">
        <v>0</v>
      </c>
      <c r="U150" s="158">
        <v>0</v>
      </c>
      <c r="V150" s="158">
        <v>0</v>
      </c>
      <c r="W150" s="158">
        <v>0</v>
      </c>
      <c r="X150" s="158">
        <v>0</v>
      </c>
      <c r="Y150" s="158">
        <v>0</v>
      </c>
      <c r="Z150" s="158">
        <v>0</v>
      </c>
      <c r="AA150" s="432">
        <v>0</v>
      </c>
      <c r="AB150" s="432">
        <v>0</v>
      </c>
      <c r="AC150" s="432">
        <v>0</v>
      </c>
      <c r="AD150" s="432">
        <v>0</v>
      </c>
      <c r="AE150" s="432">
        <v>0</v>
      </c>
      <c r="AF150" s="432">
        <v>0</v>
      </c>
      <c r="AG150" s="432">
        <v>0</v>
      </c>
      <c r="AH150" s="432">
        <v>0</v>
      </c>
      <c r="AI150" s="158">
        <v>42240</v>
      </c>
      <c r="AJ150" s="158">
        <v>0</v>
      </c>
      <c r="AK150" s="158">
        <v>42240</v>
      </c>
      <c r="AL150" s="158">
        <v>42240</v>
      </c>
      <c r="AM150" s="158">
        <v>6264000</v>
      </c>
      <c r="AN150" s="158">
        <v>42240</v>
      </c>
      <c r="AO150" s="158">
        <v>42240</v>
      </c>
      <c r="AP150" s="158">
        <v>42000</v>
      </c>
      <c r="AQ150" s="432">
        <v>0</v>
      </c>
      <c r="AR150" s="432">
        <v>0</v>
      </c>
      <c r="AS150" s="432">
        <v>0</v>
      </c>
      <c r="AT150" s="432">
        <v>0</v>
      </c>
      <c r="AU150" s="432">
        <v>0</v>
      </c>
      <c r="AV150" s="432">
        <v>0</v>
      </c>
      <c r="AW150" s="432">
        <v>0</v>
      </c>
      <c r="AX150" s="432">
        <v>0</v>
      </c>
      <c r="AY150" s="158">
        <v>0</v>
      </c>
      <c r="AZ150" s="158">
        <v>0</v>
      </c>
      <c r="BA150" s="158">
        <v>0</v>
      </c>
      <c r="BB150" s="158">
        <v>0</v>
      </c>
      <c r="BC150" s="158">
        <v>0</v>
      </c>
      <c r="BD150" s="158">
        <v>0</v>
      </c>
      <c r="BE150" s="158">
        <v>0</v>
      </c>
      <c r="BF150" s="160">
        <v>0</v>
      </c>
      <c r="BG150" s="383">
        <v>2023</v>
      </c>
      <c r="BH150" s="383">
        <v>1</v>
      </c>
      <c r="BI150" s="383">
        <v>19</v>
      </c>
      <c r="BK150" s="147" t="str">
        <f>IF(R150=SUM(Z150,AH150,AP150,AX150,BF150),"○","×")</f>
        <v>○</v>
      </c>
    </row>
    <row r="151" spans="1:63" s="152" customFormat="1" x14ac:dyDescent="0.2">
      <c r="A151" s="428">
        <v>1340</v>
      </c>
      <c r="B151" s="429"/>
      <c r="C151" s="430"/>
      <c r="D151" s="429"/>
      <c r="E151" s="430"/>
      <c r="F151" s="429"/>
      <c r="G151" s="429"/>
      <c r="H151" s="430"/>
      <c r="I151" s="429"/>
      <c r="J151" s="429"/>
      <c r="K151" s="429"/>
      <c r="L151" s="383"/>
      <c r="M151" s="383" t="s">
        <v>347</v>
      </c>
      <c r="N151" s="383" t="s">
        <v>343</v>
      </c>
      <c r="O151" s="383" t="s">
        <v>348</v>
      </c>
      <c r="P151" s="383" t="s">
        <v>970</v>
      </c>
      <c r="Q151" s="383"/>
      <c r="R151" s="431">
        <v>500000</v>
      </c>
      <c r="S151" s="158">
        <v>0</v>
      </c>
      <c r="T151" s="158">
        <v>0</v>
      </c>
      <c r="U151" s="158">
        <v>0</v>
      </c>
      <c r="V151" s="158">
        <v>0</v>
      </c>
      <c r="W151" s="158">
        <v>0</v>
      </c>
      <c r="X151" s="158">
        <v>0</v>
      </c>
      <c r="Y151" s="158">
        <v>0</v>
      </c>
      <c r="Z151" s="158">
        <v>0</v>
      </c>
      <c r="AA151" s="432">
        <v>0</v>
      </c>
      <c r="AB151" s="432">
        <v>0</v>
      </c>
      <c r="AC151" s="432">
        <v>0</v>
      </c>
      <c r="AD151" s="432">
        <v>0</v>
      </c>
      <c r="AE151" s="432">
        <v>0</v>
      </c>
      <c r="AF151" s="432">
        <v>0</v>
      </c>
      <c r="AG151" s="432">
        <v>0</v>
      </c>
      <c r="AH151" s="432">
        <v>0</v>
      </c>
      <c r="AI151" s="158">
        <v>500190</v>
      </c>
      <c r="AJ151" s="158">
        <v>0</v>
      </c>
      <c r="AK151" s="158">
        <v>500190</v>
      </c>
      <c r="AL151" s="158">
        <v>500190</v>
      </c>
      <c r="AM151" s="158">
        <v>4284000</v>
      </c>
      <c r="AN151" s="158">
        <v>500190</v>
      </c>
      <c r="AO151" s="158">
        <v>500190</v>
      </c>
      <c r="AP151" s="158">
        <v>500000</v>
      </c>
      <c r="AQ151" s="432">
        <v>0</v>
      </c>
      <c r="AR151" s="432">
        <v>0</v>
      </c>
      <c r="AS151" s="432">
        <v>0</v>
      </c>
      <c r="AT151" s="432">
        <v>0</v>
      </c>
      <c r="AU151" s="432">
        <v>0</v>
      </c>
      <c r="AV151" s="432">
        <v>0</v>
      </c>
      <c r="AW151" s="432">
        <v>0</v>
      </c>
      <c r="AX151" s="432">
        <v>0</v>
      </c>
      <c r="AY151" s="158">
        <v>0</v>
      </c>
      <c r="AZ151" s="158">
        <v>0</v>
      </c>
      <c r="BA151" s="158">
        <v>0</v>
      </c>
      <c r="BB151" s="158">
        <v>0</v>
      </c>
      <c r="BC151" s="158">
        <v>0</v>
      </c>
      <c r="BD151" s="158">
        <v>0</v>
      </c>
      <c r="BE151" s="158">
        <v>0</v>
      </c>
      <c r="BF151" s="160">
        <v>0</v>
      </c>
      <c r="BG151" s="383">
        <v>2023</v>
      </c>
      <c r="BH151" s="383">
        <v>1</v>
      </c>
      <c r="BI151" s="383">
        <v>19</v>
      </c>
      <c r="BJ151" s="148"/>
      <c r="BK151" s="147" t="str">
        <f>IF(R151=SUM(Z151,AH151,AP151,AX151,BF151),"○","×")</f>
        <v>○</v>
      </c>
    </row>
    <row r="152" spans="1:63" x14ac:dyDescent="0.2">
      <c r="A152" s="428">
        <v>1341</v>
      </c>
      <c r="B152" s="429"/>
      <c r="C152" s="430"/>
      <c r="D152" s="429"/>
      <c r="E152" s="430"/>
      <c r="F152" s="429"/>
      <c r="G152" s="429"/>
      <c r="H152" s="430"/>
      <c r="I152" s="429"/>
      <c r="J152" s="429"/>
      <c r="K152" s="429"/>
      <c r="L152" s="383"/>
      <c r="M152" s="383" t="s">
        <v>580</v>
      </c>
      <c r="N152" s="383" t="s">
        <v>356</v>
      </c>
      <c r="O152" s="383" t="s">
        <v>370</v>
      </c>
      <c r="P152" s="383" t="s">
        <v>970</v>
      </c>
      <c r="Q152" s="383"/>
      <c r="R152" s="431">
        <v>731000</v>
      </c>
      <c r="S152" s="158">
        <v>0</v>
      </c>
      <c r="T152" s="158">
        <v>0</v>
      </c>
      <c r="U152" s="158">
        <v>0</v>
      </c>
      <c r="V152" s="158">
        <v>0</v>
      </c>
      <c r="W152" s="158">
        <v>0</v>
      </c>
      <c r="X152" s="158">
        <v>0</v>
      </c>
      <c r="Y152" s="158">
        <v>0</v>
      </c>
      <c r="Z152" s="158">
        <v>0</v>
      </c>
      <c r="AA152" s="432">
        <v>0</v>
      </c>
      <c r="AB152" s="432">
        <v>0</v>
      </c>
      <c r="AC152" s="432">
        <v>0</v>
      </c>
      <c r="AD152" s="432">
        <v>0</v>
      </c>
      <c r="AE152" s="432">
        <v>0</v>
      </c>
      <c r="AF152" s="432">
        <v>0</v>
      </c>
      <c r="AG152" s="432">
        <v>0</v>
      </c>
      <c r="AH152" s="432">
        <v>0</v>
      </c>
      <c r="AI152" s="158">
        <v>731160</v>
      </c>
      <c r="AJ152" s="158">
        <v>0</v>
      </c>
      <c r="AK152" s="158">
        <v>731160</v>
      </c>
      <c r="AL152" s="158">
        <v>731160</v>
      </c>
      <c r="AM152" s="158">
        <v>1360800</v>
      </c>
      <c r="AN152" s="158">
        <v>731160</v>
      </c>
      <c r="AO152" s="158">
        <v>731160</v>
      </c>
      <c r="AP152" s="158">
        <v>731000</v>
      </c>
      <c r="AQ152" s="432">
        <v>0</v>
      </c>
      <c r="AR152" s="432">
        <v>0</v>
      </c>
      <c r="AS152" s="432">
        <v>0</v>
      </c>
      <c r="AT152" s="432">
        <v>0</v>
      </c>
      <c r="AU152" s="432">
        <v>0</v>
      </c>
      <c r="AV152" s="432">
        <v>0</v>
      </c>
      <c r="AW152" s="432">
        <v>0</v>
      </c>
      <c r="AX152" s="432">
        <v>0</v>
      </c>
      <c r="AY152" s="158">
        <v>0</v>
      </c>
      <c r="AZ152" s="158">
        <v>0</v>
      </c>
      <c r="BA152" s="158">
        <v>0</v>
      </c>
      <c r="BB152" s="158">
        <v>0</v>
      </c>
      <c r="BC152" s="158">
        <v>0</v>
      </c>
      <c r="BD152" s="158">
        <v>0</v>
      </c>
      <c r="BE152" s="158">
        <v>0</v>
      </c>
      <c r="BF152" s="160">
        <v>0</v>
      </c>
      <c r="BG152" s="383">
        <v>2023</v>
      </c>
      <c r="BH152" s="383">
        <v>1</v>
      </c>
      <c r="BI152" s="383">
        <v>19</v>
      </c>
      <c r="BJ152" s="152"/>
      <c r="BK152" s="147" t="str">
        <f>IF(R152=SUM(Z152,AH152,AP152,AX152,BF152),"○","×")</f>
        <v>○</v>
      </c>
    </row>
    <row r="153" spans="1:63" x14ac:dyDescent="0.2">
      <c r="A153" s="428">
        <v>1342</v>
      </c>
      <c r="B153" s="429"/>
      <c r="C153" s="430"/>
      <c r="D153" s="429"/>
      <c r="E153" s="430"/>
      <c r="F153" s="429"/>
      <c r="G153" s="429"/>
      <c r="H153" s="430"/>
      <c r="I153" s="429"/>
      <c r="J153" s="429"/>
      <c r="K153" s="429"/>
      <c r="L153" s="383"/>
      <c r="M153" s="383" t="s">
        <v>456</v>
      </c>
      <c r="N153" s="383" t="s">
        <v>408</v>
      </c>
      <c r="O153" s="383" t="s">
        <v>324</v>
      </c>
      <c r="P153" s="383" t="s">
        <v>970</v>
      </c>
      <c r="Q153" s="383"/>
      <c r="R153" s="431">
        <v>345000</v>
      </c>
      <c r="S153" s="158">
        <v>0</v>
      </c>
      <c r="T153" s="158">
        <v>0</v>
      </c>
      <c r="U153" s="158">
        <v>0</v>
      </c>
      <c r="V153" s="158">
        <v>0</v>
      </c>
      <c r="W153" s="158">
        <v>0</v>
      </c>
      <c r="X153" s="158">
        <v>0</v>
      </c>
      <c r="Y153" s="158">
        <v>0</v>
      </c>
      <c r="Z153" s="158">
        <v>0</v>
      </c>
      <c r="AA153" s="432">
        <v>0</v>
      </c>
      <c r="AB153" s="432">
        <v>0</v>
      </c>
      <c r="AC153" s="432">
        <v>0</v>
      </c>
      <c r="AD153" s="432">
        <v>0</v>
      </c>
      <c r="AE153" s="432">
        <v>0</v>
      </c>
      <c r="AF153" s="432">
        <v>0</v>
      </c>
      <c r="AG153" s="432">
        <v>0</v>
      </c>
      <c r="AH153" s="432">
        <v>0</v>
      </c>
      <c r="AI153" s="158">
        <v>345299</v>
      </c>
      <c r="AJ153" s="158">
        <v>0</v>
      </c>
      <c r="AK153" s="158">
        <v>345299</v>
      </c>
      <c r="AL153" s="158">
        <v>345299</v>
      </c>
      <c r="AM153" s="158">
        <v>1029600</v>
      </c>
      <c r="AN153" s="158">
        <v>345299</v>
      </c>
      <c r="AO153" s="158">
        <v>345299</v>
      </c>
      <c r="AP153" s="158">
        <v>345000</v>
      </c>
      <c r="AQ153" s="432">
        <v>0</v>
      </c>
      <c r="AR153" s="432">
        <v>0</v>
      </c>
      <c r="AS153" s="432">
        <v>0</v>
      </c>
      <c r="AT153" s="432">
        <v>0</v>
      </c>
      <c r="AU153" s="432">
        <v>0</v>
      </c>
      <c r="AV153" s="432">
        <v>0</v>
      </c>
      <c r="AW153" s="432">
        <v>0</v>
      </c>
      <c r="AX153" s="432">
        <v>0</v>
      </c>
      <c r="AY153" s="158">
        <v>0</v>
      </c>
      <c r="AZ153" s="158">
        <v>0</v>
      </c>
      <c r="BA153" s="158">
        <v>0</v>
      </c>
      <c r="BB153" s="158">
        <v>0</v>
      </c>
      <c r="BC153" s="158">
        <v>0</v>
      </c>
      <c r="BD153" s="158">
        <v>0</v>
      </c>
      <c r="BE153" s="158">
        <v>0</v>
      </c>
      <c r="BF153" s="160">
        <v>0</v>
      </c>
      <c r="BG153" s="383">
        <v>2023</v>
      </c>
      <c r="BH153" s="383">
        <v>1</v>
      </c>
      <c r="BI153" s="383">
        <v>19</v>
      </c>
      <c r="BK153" s="147" t="str">
        <f>IF(R153=SUM(Z153,AH153,AP153,AX153,BF153),"○","×")</f>
        <v>○</v>
      </c>
    </row>
    <row r="154" spans="1:63" x14ac:dyDescent="0.2">
      <c r="A154" s="428">
        <v>1343</v>
      </c>
      <c r="B154" s="429"/>
      <c r="C154" s="430"/>
      <c r="D154" s="429"/>
      <c r="E154" s="430"/>
      <c r="F154" s="429"/>
      <c r="G154" s="429"/>
      <c r="H154" s="430"/>
      <c r="I154" s="429"/>
      <c r="J154" s="429"/>
      <c r="K154" s="429"/>
      <c r="L154" s="383"/>
      <c r="M154" s="383" t="s">
        <v>581</v>
      </c>
      <c r="N154" s="383" t="s">
        <v>323</v>
      </c>
      <c r="O154" s="383" t="s">
        <v>582</v>
      </c>
      <c r="P154" s="383" t="s">
        <v>970</v>
      </c>
      <c r="Q154" s="383"/>
      <c r="R154" s="431">
        <v>600000</v>
      </c>
      <c r="S154" s="158">
        <v>0</v>
      </c>
      <c r="T154" s="158">
        <v>0</v>
      </c>
      <c r="U154" s="158">
        <v>0</v>
      </c>
      <c r="V154" s="158">
        <v>0</v>
      </c>
      <c r="W154" s="158">
        <v>0</v>
      </c>
      <c r="X154" s="158">
        <v>0</v>
      </c>
      <c r="Y154" s="158">
        <v>0</v>
      </c>
      <c r="Z154" s="158">
        <v>0</v>
      </c>
      <c r="AA154" s="432">
        <v>0</v>
      </c>
      <c r="AB154" s="432">
        <v>0</v>
      </c>
      <c r="AC154" s="432">
        <v>0</v>
      </c>
      <c r="AD154" s="432">
        <v>0</v>
      </c>
      <c r="AE154" s="432">
        <v>0</v>
      </c>
      <c r="AF154" s="432">
        <v>0</v>
      </c>
      <c r="AG154" s="432">
        <v>0</v>
      </c>
      <c r="AH154" s="432">
        <v>0</v>
      </c>
      <c r="AI154" s="158">
        <v>600304</v>
      </c>
      <c r="AJ154" s="158">
        <v>0</v>
      </c>
      <c r="AK154" s="158">
        <v>600304</v>
      </c>
      <c r="AL154" s="158">
        <v>600304</v>
      </c>
      <c r="AM154" s="158">
        <v>1684800</v>
      </c>
      <c r="AN154" s="158">
        <v>600304</v>
      </c>
      <c r="AO154" s="158">
        <v>600304</v>
      </c>
      <c r="AP154" s="158">
        <v>600000</v>
      </c>
      <c r="AQ154" s="432">
        <v>0</v>
      </c>
      <c r="AR154" s="432">
        <v>0</v>
      </c>
      <c r="AS154" s="432">
        <v>0</v>
      </c>
      <c r="AT154" s="432">
        <v>0</v>
      </c>
      <c r="AU154" s="432">
        <v>0</v>
      </c>
      <c r="AV154" s="432">
        <v>0</v>
      </c>
      <c r="AW154" s="432">
        <v>0</v>
      </c>
      <c r="AX154" s="432">
        <v>0</v>
      </c>
      <c r="AY154" s="158">
        <v>0</v>
      </c>
      <c r="AZ154" s="158">
        <v>0</v>
      </c>
      <c r="BA154" s="158">
        <v>0</v>
      </c>
      <c r="BB154" s="158">
        <v>0</v>
      </c>
      <c r="BC154" s="158">
        <v>0</v>
      </c>
      <c r="BD154" s="158">
        <v>0</v>
      </c>
      <c r="BE154" s="158">
        <v>0</v>
      </c>
      <c r="BF154" s="160">
        <v>0</v>
      </c>
      <c r="BG154" s="383">
        <v>2023</v>
      </c>
      <c r="BH154" s="383">
        <v>1</v>
      </c>
      <c r="BI154" s="383">
        <v>19</v>
      </c>
      <c r="BK154" s="147" t="str">
        <f>IF(R154=SUM(Z154,AH154,AP154,AX154,BF154),"○","×")</f>
        <v>○</v>
      </c>
    </row>
    <row r="155" spans="1:63" x14ac:dyDescent="0.2">
      <c r="A155" s="428">
        <v>1344</v>
      </c>
      <c r="B155" s="429"/>
      <c r="C155" s="430"/>
      <c r="D155" s="429"/>
      <c r="E155" s="430"/>
      <c r="F155" s="429"/>
      <c r="G155" s="429"/>
      <c r="H155" s="430"/>
      <c r="I155" s="429"/>
      <c r="J155" s="429"/>
      <c r="K155" s="429"/>
      <c r="L155" s="383"/>
      <c r="M155" s="383" t="s">
        <v>581</v>
      </c>
      <c r="N155" s="383" t="s">
        <v>323</v>
      </c>
      <c r="O155" s="383" t="s">
        <v>582</v>
      </c>
      <c r="P155" s="383" t="s">
        <v>970</v>
      </c>
      <c r="Q155" s="383"/>
      <c r="R155" s="431">
        <v>237000</v>
      </c>
      <c r="S155" s="158">
        <v>0</v>
      </c>
      <c r="T155" s="158">
        <v>0</v>
      </c>
      <c r="U155" s="158">
        <v>0</v>
      </c>
      <c r="V155" s="158">
        <v>0</v>
      </c>
      <c r="W155" s="158">
        <v>0</v>
      </c>
      <c r="X155" s="158">
        <v>0</v>
      </c>
      <c r="Y155" s="158">
        <v>0</v>
      </c>
      <c r="Z155" s="158">
        <v>0</v>
      </c>
      <c r="AA155" s="432">
        <v>0</v>
      </c>
      <c r="AB155" s="432">
        <v>0</v>
      </c>
      <c r="AC155" s="432">
        <v>0</v>
      </c>
      <c r="AD155" s="432">
        <v>0</v>
      </c>
      <c r="AE155" s="432">
        <v>0</v>
      </c>
      <c r="AF155" s="432">
        <v>0</v>
      </c>
      <c r="AG155" s="432">
        <v>0</v>
      </c>
      <c r="AH155" s="432">
        <v>0</v>
      </c>
      <c r="AI155" s="158">
        <v>237600</v>
      </c>
      <c r="AJ155" s="158">
        <v>0</v>
      </c>
      <c r="AK155" s="158">
        <v>237600</v>
      </c>
      <c r="AL155" s="158">
        <v>237600</v>
      </c>
      <c r="AM155" s="158">
        <v>1328400</v>
      </c>
      <c r="AN155" s="158">
        <v>237600</v>
      </c>
      <c r="AO155" s="158">
        <v>237600</v>
      </c>
      <c r="AP155" s="158">
        <v>237000</v>
      </c>
      <c r="AQ155" s="432">
        <v>0</v>
      </c>
      <c r="AR155" s="432">
        <v>0</v>
      </c>
      <c r="AS155" s="432">
        <v>0</v>
      </c>
      <c r="AT155" s="432">
        <v>0</v>
      </c>
      <c r="AU155" s="432">
        <v>0</v>
      </c>
      <c r="AV155" s="432">
        <v>0</v>
      </c>
      <c r="AW155" s="432">
        <v>0</v>
      </c>
      <c r="AX155" s="432">
        <v>0</v>
      </c>
      <c r="AY155" s="158">
        <v>0</v>
      </c>
      <c r="AZ155" s="158">
        <v>0</v>
      </c>
      <c r="BA155" s="158">
        <v>0</v>
      </c>
      <c r="BB155" s="158">
        <v>0</v>
      </c>
      <c r="BC155" s="158">
        <v>0</v>
      </c>
      <c r="BD155" s="158">
        <v>0</v>
      </c>
      <c r="BE155" s="158">
        <v>0</v>
      </c>
      <c r="BF155" s="160">
        <v>0</v>
      </c>
      <c r="BG155" s="383">
        <v>2023</v>
      </c>
      <c r="BH155" s="383">
        <v>1</v>
      </c>
      <c r="BI155" s="383">
        <v>19</v>
      </c>
      <c r="BK155" s="147" t="str">
        <f>IF(R155=SUM(Z155,AH155,AP155,AX155,BF155),"○","×")</f>
        <v>○</v>
      </c>
    </row>
    <row r="156" spans="1:63" x14ac:dyDescent="0.2">
      <c r="A156" s="428">
        <v>1345</v>
      </c>
      <c r="B156" s="429"/>
      <c r="C156" s="430"/>
      <c r="D156" s="429"/>
      <c r="E156" s="430"/>
      <c r="F156" s="429"/>
      <c r="G156" s="429"/>
      <c r="H156" s="430"/>
      <c r="I156" s="429"/>
      <c r="J156" s="429"/>
      <c r="K156" s="429"/>
      <c r="L156" s="383"/>
      <c r="M156" s="383" t="s">
        <v>509</v>
      </c>
      <c r="N156" s="383" t="s">
        <v>367</v>
      </c>
      <c r="O156" s="383" t="s">
        <v>324</v>
      </c>
      <c r="P156" s="383" t="s">
        <v>970</v>
      </c>
      <c r="Q156" s="383"/>
      <c r="R156" s="431">
        <v>221000</v>
      </c>
      <c r="S156" s="158">
        <v>0</v>
      </c>
      <c r="T156" s="158">
        <v>0</v>
      </c>
      <c r="U156" s="158">
        <v>0</v>
      </c>
      <c r="V156" s="158">
        <v>0</v>
      </c>
      <c r="W156" s="158">
        <v>0</v>
      </c>
      <c r="X156" s="158">
        <v>0</v>
      </c>
      <c r="Y156" s="158">
        <v>0</v>
      </c>
      <c r="Z156" s="158">
        <v>0</v>
      </c>
      <c r="AA156" s="432">
        <v>0</v>
      </c>
      <c r="AB156" s="432">
        <v>0</v>
      </c>
      <c r="AC156" s="432">
        <v>0</v>
      </c>
      <c r="AD156" s="432">
        <v>0</v>
      </c>
      <c r="AE156" s="432">
        <v>0</v>
      </c>
      <c r="AF156" s="432">
        <v>0</v>
      </c>
      <c r="AG156" s="432">
        <v>0</v>
      </c>
      <c r="AH156" s="432">
        <v>0</v>
      </c>
      <c r="AI156" s="158">
        <v>221200</v>
      </c>
      <c r="AJ156" s="158">
        <v>0</v>
      </c>
      <c r="AK156" s="158">
        <v>221200</v>
      </c>
      <c r="AL156" s="158">
        <v>221200</v>
      </c>
      <c r="AM156" s="158">
        <v>6480000</v>
      </c>
      <c r="AN156" s="158">
        <v>221200</v>
      </c>
      <c r="AO156" s="158">
        <v>221200</v>
      </c>
      <c r="AP156" s="158">
        <v>221000</v>
      </c>
      <c r="AQ156" s="432">
        <v>0</v>
      </c>
      <c r="AR156" s="432">
        <v>0</v>
      </c>
      <c r="AS156" s="432">
        <v>0</v>
      </c>
      <c r="AT156" s="432">
        <v>0</v>
      </c>
      <c r="AU156" s="432">
        <v>0</v>
      </c>
      <c r="AV156" s="432">
        <v>0</v>
      </c>
      <c r="AW156" s="432">
        <v>0</v>
      </c>
      <c r="AX156" s="432">
        <v>0</v>
      </c>
      <c r="AY156" s="158">
        <v>0</v>
      </c>
      <c r="AZ156" s="158">
        <v>0</v>
      </c>
      <c r="BA156" s="158">
        <v>0</v>
      </c>
      <c r="BB156" s="158">
        <v>0</v>
      </c>
      <c r="BC156" s="158">
        <v>0</v>
      </c>
      <c r="BD156" s="158">
        <v>0</v>
      </c>
      <c r="BE156" s="158">
        <v>0</v>
      </c>
      <c r="BF156" s="160">
        <v>0</v>
      </c>
      <c r="BG156" s="383">
        <v>2023</v>
      </c>
      <c r="BH156" s="383">
        <v>1</v>
      </c>
      <c r="BI156" s="383">
        <v>19</v>
      </c>
      <c r="BK156" s="147" t="str">
        <f>IF(R156=SUM(Z156,AH156,AP156,AX156,BF156),"○","×")</f>
        <v>○</v>
      </c>
    </row>
    <row r="157" spans="1:63" x14ac:dyDescent="0.2">
      <c r="A157" s="428">
        <v>1346</v>
      </c>
      <c r="B157" s="429"/>
      <c r="C157" s="430"/>
      <c r="D157" s="429"/>
      <c r="E157" s="430"/>
      <c r="F157" s="429"/>
      <c r="G157" s="429"/>
      <c r="H157" s="430"/>
      <c r="I157" s="429"/>
      <c r="J157" s="429"/>
      <c r="K157" s="429"/>
      <c r="L157" s="383"/>
      <c r="M157" s="383" t="s">
        <v>401</v>
      </c>
      <c r="N157" s="383" t="s">
        <v>402</v>
      </c>
      <c r="O157" s="383" t="s">
        <v>333</v>
      </c>
      <c r="P157" s="383" t="s">
        <v>970</v>
      </c>
      <c r="Q157" s="383"/>
      <c r="R157" s="431">
        <v>122000</v>
      </c>
      <c r="S157" s="158">
        <v>0</v>
      </c>
      <c r="T157" s="158">
        <v>0</v>
      </c>
      <c r="U157" s="158">
        <v>0</v>
      </c>
      <c r="V157" s="158">
        <v>0</v>
      </c>
      <c r="W157" s="158">
        <v>0</v>
      </c>
      <c r="X157" s="158">
        <v>0</v>
      </c>
      <c r="Y157" s="158">
        <v>0</v>
      </c>
      <c r="Z157" s="158">
        <v>0</v>
      </c>
      <c r="AA157" s="432">
        <v>0</v>
      </c>
      <c r="AB157" s="432">
        <v>0</v>
      </c>
      <c r="AC157" s="432">
        <v>0</v>
      </c>
      <c r="AD157" s="432">
        <v>0</v>
      </c>
      <c r="AE157" s="432">
        <v>0</v>
      </c>
      <c r="AF157" s="432">
        <v>0</v>
      </c>
      <c r="AG157" s="432">
        <v>0</v>
      </c>
      <c r="AH157" s="432">
        <v>0</v>
      </c>
      <c r="AI157" s="158">
        <v>122364</v>
      </c>
      <c r="AJ157" s="158">
        <v>0</v>
      </c>
      <c r="AK157" s="158">
        <v>122364</v>
      </c>
      <c r="AL157" s="158">
        <v>122364</v>
      </c>
      <c r="AM157" s="158">
        <v>2635200</v>
      </c>
      <c r="AN157" s="158">
        <v>122364</v>
      </c>
      <c r="AO157" s="158">
        <v>122364</v>
      </c>
      <c r="AP157" s="158">
        <v>122000</v>
      </c>
      <c r="AQ157" s="432">
        <v>0</v>
      </c>
      <c r="AR157" s="432">
        <v>0</v>
      </c>
      <c r="AS157" s="432">
        <v>0</v>
      </c>
      <c r="AT157" s="432">
        <v>0</v>
      </c>
      <c r="AU157" s="432">
        <v>0</v>
      </c>
      <c r="AV157" s="432">
        <v>0</v>
      </c>
      <c r="AW157" s="432">
        <v>0</v>
      </c>
      <c r="AX157" s="432">
        <v>0</v>
      </c>
      <c r="AY157" s="158">
        <v>0</v>
      </c>
      <c r="AZ157" s="158">
        <v>0</v>
      </c>
      <c r="BA157" s="158">
        <v>0</v>
      </c>
      <c r="BB157" s="158">
        <v>0</v>
      </c>
      <c r="BC157" s="158">
        <v>0</v>
      </c>
      <c r="BD157" s="158">
        <v>0</v>
      </c>
      <c r="BE157" s="158">
        <v>0</v>
      </c>
      <c r="BF157" s="160">
        <v>0</v>
      </c>
      <c r="BG157" s="383">
        <v>2023</v>
      </c>
      <c r="BH157" s="383">
        <v>1</v>
      </c>
      <c r="BI157" s="383">
        <v>19</v>
      </c>
      <c r="BK157" s="147" t="str">
        <f>IF(R157=SUM(Z157,AH157,AP157,AX157,BF157),"○","×")</f>
        <v>○</v>
      </c>
    </row>
    <row r="158" spans="1:63" x14ac:dyDescent="0.2">
      <c r="A158" s="428">
        <v>1347</v>
      </c>
      <c r="B158" s="429"/>
      <c r="C158" s="430"/>
      <c r="D158" s="429"/>
      <c r="E158" s="430"/>
      <c r="F158" s="429"/>
      <c r="G158" s="429"/>
      <c r="H158" s="430"/>
      <c r="I158" s="429"/>
      <c r="J158" s="429"/>
      <c r="K158" s="429"/>
      <c r="L158" s="383"/>
      <c r="M158" s="383" t="s">
        <v>583</v>
      </c>
      <c r="N158" s="383" t="s">
        <v>547</v>
      </c>
      <c r="O158" s="383" t="s">
        <v>584</v>
      </c>
      <c r="P158" s="383" t="s">
        <v>970</v>
      </c>
      <c r="Q158" s="383"/>
      <c r="R158" s="431">
        <v>272000</v>
      </c>
      <c r="S158" s="158">
        <v>0</v>
      </c>
      <c r="T158" s="158">
        <v>0</v>
      </c>
      <c r="U158" s="158">
        <v>0</v>
      </c>
      <c r="V158" s="158">
        <v>0</v>
      </c>
      <c r="W158" s="158">
        <v>0</v>
      </c>
      <c r="X158" s="158">
        <v>0</v>
      </c>
      <c r="Y158" s="158">
        <v>0</v>
      </c>
      <c r="Z158" s="158">
        <v>0</v>
      </c>
      <c r="AA158" s="432">
        <v>0</v>
      </c>
      <c r="AB158" s="432">
        <v>0</v>
      </c>
      <c r="AC158" s="432">
        <v>0</v>
      </c>
      <c r="AD158" s="432">
        <v>0</v>
      </c>
      <c r="AE158" s="432">
        <v>0</v>
      </c>
      <c r="AF158" s="432">
        <v>0</v>
      </c>
      <c r="AG158" s="432">
        <v>0</v>
      </c>
      <c r="AH158" s="432">
        <v>0</v>
      </c>
      <c r="AI158" s="158">
        <v>272700</v>
      </c>
      <c r="AJ158" s="158">
        <v>0</v>
      </c>
      <c r="AK158" s="158">
        <v>272700</v>
      </c>
      <c r="AL158" s="158">
        <v>272700</v>
      </c>
      <c r="AM158" s="158">
        <v>1285200</v>
      </c>
      <c r="AN158" s="158">
        <v>272700</v>
      </c>
      <c r="AO158" s="158">
        <v>272700</v>
      </c>
      <c r="AP158" s="158">
        <v>272000</v>
      </c>
      <c r="AQ158" s="432">
        <v>0</v>
      </c>
      <c r="AR158" s="432">
        <v>0</v>
      </c>
      <c r="AS158" s="432">
        <v>0</v>
      </c>
      <c r="AT158" s="432">
        <v>0</v>
      </c>
      <c r="AU158" s="432">
        <v>0</v>
      </c>
      <c r="AV158" s="432">
        <v>0</v>
      </c>
      <c r="AW158" s="432">
        <v>0</v>
      </c>
      <c r="AX158" s="432">
        <v>0</v>
      </c>
      <c r="AY158" s="158">
        <v>0</v>
      </c>
      <c r="AZ158" s="158">
        <v>0</v>
      </c>
      <c r="BA158" s="158">
        <v>0</v>
      </c>
      <c r="BB158" s="158">
        <v>0</v>
      </c>
      <c r="BC158" s="158">
        <v>0</v>
      </c>
      <c r="BD158" s="158">
        <v>0</v>
      </c>
      <c r="BE158" s="158">
        <v>0</v>
      </c>
      <c r="BF158" s="160">
        <v>0</v>
      </c>
      <c r="BG158" s="383">
        <v>2023</v>
      </c>
      <c r="BH158" s="383">
        <v>1</v>
      </c>
      <c r="BI158" s="383">
        <v>19</v>
      </c>
      <c r="BK158" s="147" t="str">
        <f>IF(R158=SUM(Z158,AH158,AP158,AX158,BF158),"○","×")</f>
        <v>○</v>
      </c>
    </row>
    <row r="159" spans="1:63" x14ac:dyDescent="0.2">
      <c r="A159" s="428">
        <v>1348</v>
      </c>
      <c r="B159" s="429"/>
      <c r="C159" s="430"/>
      <c r="D159" s="429"/>
      <c r="E159" s="430"/>
      <c r="F159" s="429"/>
      <c r="G159" s="429"/>
      <c r="H159" s="430"/>
      <c r="I159" s="429"/>
      <c r="J159" s="429"/>
      <c r="K159" s="429"/>
      <c r="L159" s="383"/>
      <c r="M159" s="383" t="s">
        <v>585</v>
      </c>
      <c r="N159" s="383" t="s">
        <v>586</v>
      </c>
      <c r="O159" s="383" t="s">
        <v>587</v>
      </c>
      <c r="P159" s="383" t="s">
        <v>970</v>
      </c>
      <c r="Q159" s="383"/>
      <c r="R159" s="431">
        <v>190000</v>
      </c>
      <c r="S159" s="158">
        <v>0</v>
      </c>
      <c r="T159" s="158">
        <v>0</v>
      </c>
      <c r="U159" s="158">
        <v>0</v>
      </c>
      <c r="V159" s="158">
        <v>0</v>
      </c>
      <c r="W159" s="158">
        <v>0</v>
      </c>
      <c r="X159" s="158">
        <v>0</v>
      </c>
      <c r="Y159" s="158">
        <v>0</v>
      </c>
      <c r="Z159" s="158">
        <v>0</v>
      </c>
      <c r="AA159" s="432">
        <v>0</v>
      </c>
      <c r="AB159" s="432">
        <v>0</v>
      </c>
      <c r="AC159" s="432">
        <v>0</v>
      </c>
      <c r="AD159" s="432">
        <v>0</v>
      </c>
      <c r="AE159" s="432">
        <v>0</v>
      </c>
      <c r="AF159" s="432">
        <v>0</v>
      </c>
      <c r="AG159" s="432">
        <v>0</v>
      </c>
      <c r="AH159" s="432">
        <v>0</v>
      </c>
      <c r="AI159" s="158">
        <v>190428</v>
      </c>
      <c r="AJ159" s="158">
        <v>0</v>
      </c>
      <c r="AK159" s="158">
        <v>190428</v>
      </c>
      <c r="AL159" s="158">
        <v>190428</v>
      </c>
      <c r="AM159" s="158">
        <v>1555200</v>
      </c>
      <c r="AN159" s="158">
        <v>190428</v>
      </c>
      <c r="AO159" s="158">
        <v>190428</v>
      </c>
      <c r="AP159" s="158">
        <v>190000</v>
      </c>
      <c r="AQ159" s="432">
        <v>0</v>
      </c>
      <c r="AR159" s="432">
        <v>0</v>
      </c>
      <c r="AS159" s="432">
        <v>0</v>
      </c>
      <c r="AT159" s="432">
        <v>0</v>
      </c>
      <c r="AU159" s="432">
        <v>0</v>
      </c>
      <c r="AV159" s="432">
        <v>0</v>
      </c>
      <c r="AW159" s="432">
        <v>0</v>
      </c>
      <c r="AX159" s="432">
        <v>0</v>
      </c>
      <c r="AY159" s="158">
        <v>0</v>
      </c>
      <c r="AZ159" s="158">
        <v>0</v>
      </c>
      <c r="BA159" s="158">
        <v>0</v>
      </c>
      <c r="BB159" s="158">
        <v>0</v>
      </c>
      <c r="BC159" s="158">
        <v>0</v>
      </c>
      <c r="BD159" s="158">
        <v>0</v>
      </c>
      <c r="BE159" s="158">
        <v>0</v>
      </c>
      <c r="BF159" s="160">
        <v>0</v>
      </c>
      <c r="BG159" s="383">
        <v>2023</v>
      </c>
      <c r="BH159" s="383">
        <v>1</v>
      </c>
      <c r="BI159" s="383">
        <v>19</v>
      </c>
      <c r="BK159" s="147" t="str">
        <f>IF(R159=SUM(Z159,AH159,AP159,AX159,BF159),"○","×")</f>
        <v>○</v>
      </c>
    </row>
    <row r="160" spans="1:63" x14ac:dyDescent="0.2">
      <c r="A160" s="428">
        <v>1349</v>
      </c>
      <c r="B160" s="429"/>
      <c r="C160" s="430"/>
      <c r="D160" s="429"/>
      <c r="E160" s="430"/>
      <c r="F160" s="429"/>
      <c r="G160" s="429"/>
      <c r="H160" s="430"/>
      <c r="I160" s="429"/>
      <c r="J160" s="429"/>
      <c r="K160" s="429"/>
      <c r="L160" s="383"/>
      <c r="M160" s="383" t="s">
        <v>588</v>
      </c>
      <c r="N160" s="383" t="s">
        <v>329</v>
      </c>
      <c r="O160" s="383" t="s">
        <v>450</v>
      </c>
      <c r="P160" s="383" t="s">
        <v>970</v>
      </c>
      <c r="Q160" s="383"/>
      <c r="R160" s="431">
        <v>251000</v>
      </c>
      <c r="S160" s="158">
        <v>0</v>
      </c>
      <c r="T160" s="158">
        <v>0</v>
      </c>
      <c r="U160" s="158">
        <v>0</v>
      </c>
      <c r="V160" s="158">
        <v>0</v>
      </c>
      <c r="W160" s="158">
        <v>0</v>
      </c>
      <c r="X160" s="158">
        <v>0</v>
      </c>
      <c r="Y160" s="158">
        <v>0</v>
      </c>
      <c r="Z160" s="158">
        <v>0</v>
      </c>
      <c r="AA160" s="432">
        <v>0</v>
      </c>
      <c r="AB160" s="432">
        <v>0</v>
      </c>
      <c r="AC160" s="432">
        <v>0</v>
      </c>
      <c r="AD160" s="432">
        <v>0</v>
      </c>
      <c r="AE160" s="432">
        <v>0</v>
      </c>
      <c r="AF160" s="432">
        <v>0</v>
      </c>
      <c r="AG160" s="432">
        <v>0</v>
      </c>
      <c r="AH160" s="432">
        <v>0</v>
      </c>
      <c r="AI160" s="158">
        <v>251575</v>
      </c>
      <c r="AJ160" s="158">
        <v>0</v>
      </c>
      <c r="AK160" s="158">
        <v>251575</v>
      </c>
      <c r="AL160" s="158">
        <v>251575</v>
      </c>
      <c r="AM160" s="158">
        <v>1728000</v>
      </c>
      <c r="AN160" s="158">
        <v>251575</v>
      </c>
      <c r="AO160" s="158">
        <v>251575</v>
      </c>
      <c r="AP160" s="158">
        <v>251000</v>
      </c>
      <c r="AQ160" s="432">
        <v>0</v>
      </c>
      <c r="AR160" s="432">
        <v>0</v>
      </c>
      <c r="AS160" s="432">
        <v>0</v>
      </c>
      <c r="AT160" s="432">
        <v>0</v>
      </c>
      <c r="AU160" s="432">
        <v>0</v>
      </c>
      <c r="AV160" s="432">
        <v>0</v>
      </c>
      <c r="AW160" s="432">
        <v>0</v>
      </c>
      <c r="AX160" s="432">
        <v>0</v>
      </c>
      <c r="AY160" s="158">
        <v>0</v>
      </c>
      <c r="AZ160" s="158">
        <v>0</v>
      </c>
      <c r="BA160" s="158">
        <v>0</v>
      </c>
      <c r="BB160" s="158">
        <v>0</v>
      </c>
      <c r="BC160" s="158">
        <v>0</v>
      </c>
      <c r="BD160" s="158">
        <v>0</v>
      </c>
      <c r="BE160" s="158">
        <v>0</v>
      </c>
      <c r="BF160" s="160">
        <v>0</v>
      </c>
      <c r="BG160" s="383">
        <v>2023</v>
      </c>
      <c r="BH160" s="383">
        <v>1</v>
      </c>
      <c r="BI160" s="383">
        <v>19</v>
      </c>
      <c r="BK160" s="147" t="str">
        <f>IF(R160=SUM(Z160,AH160,AP160,AX160,BF160),"○","×")</f>
        <v>○</v>
      </c>
    </row>
    <row r="161" spans="1:63" x14ac:dyDescent="0.2">
      <c r="A161" s="428">
        <v>1350</v>
      </c>
      <c r="B161" s="429"/>
      <c r="C161" s="430"/>
      <c r="D161" s="429"/>
      <c r="E161" s="430"/>
      <c r="F161" s="429"/>
      <c r="G161" s="429"/>
      <c r="H161" s="430"/>
      <c r="I161" s="429"/>
      <c r="J161" s="429"/>
      <c r="K161" s="429"/>
      <c r="L161" s="383"/>
      <c r="M161" s="383" t="s">
        <v>589</v>
      </c>
      <c r="N161" s="383" t="s">
        <v>353</v>
      </c>
      <c r="O161" s="383" t="s">
        <v>590</v>
      </c>
      <c r="P161" s="383" t="s">
        <v>970</v>
      </c>
      <c r="Q161" s="383"/>
      <c r="R161" s="431">
        <v>1274000</v>
      </c>
      <c r="S161" s="158">
        <v>0</v>
      </c>
      <c r="T161" s="158">
        <v>0</v>
      </c>
      <c r="U161" s="158">
        <v>0</v>
      </c>
      <c r="V161" s="158">
        <v>0</v>
      </c>
      <c r="W161" s="158">
        <v>0</v>
      </c>
      <c r="X161" s="158">
        <v>0</v>
      </c>
      <c r="Y161" s="158">
        <v>0</v>
      </c>
      <c r="Z161" s="158">
        <v>0</v>
      </c>
      <c r="AA161" s="432">
        <v>0</v>
      </c>
      <c r="AB161" s="432">
        <v>0</v>
      </c>
      <c r="AC161" s="432">
        <v>0</v>
      </c>
      <c r="AD161" s="432">
        <v>0</v>
      </c>
      <c r="AE161" s="432">
        <v>0</v>
      </c>
      <c r="AF161" s="432">
        <v>0</v>
      </c>
      <c r="AG161" s="432">
        <v>0</v>
      </c>
      <c r="AH161" s="432">
        <v>0</v>
      </c>
      <c r="AI161" s="158">
        <v>1274060</v>
      </c>
      <c r="AJ161" s="158">
        <v>0</v>
      </c>
      <c r="AK161" s="158">
        <v>1274060</v>
      </c>
      <c r="AL161" s="158">
        <v>1274060</v>
      </c>
      <c r="AM161" s="158">
        <v>3628800</v>
      </c>
      <c r="AN161" s="158">
        <v>1274060</v>
      </c>
      <c r="AO161" s="158">
        <v>1274060</v>
      </c>
      <c r="AP161" s="158">
        <v>1274000</v>
      </c>
      <c r="AQ161" s="432">
        <v>0</v>
      </c>
      <c r="AR161" s="432">
        <v>0</v>
      </c>
      <c r="AS161" s="432">
        <v>0</v>
      </c>
      <c r="AT161" s="432">
        <v>0</v>
      </c>
      <c r="AU161" s="432">
        <v>0</v>
      </c>
      <c r="AV161" s="432">
        <v>0</v>
      </c>
      <c r="AW161" s="432">
        <v>0</v>
      </c>
      <c r="AX161" s="432">
        <v>0</v>
      </c>
      <c r="AY161" s="158">
        <v>0</v>
      </c>
      <c r="AZ161" s="158">
        <v>0</v>
      </c>
      <c r="BA161" s="158">
        <v>0</v>
      </c>
      <c r="BB161" s="158">
        <v>0</v>
      </c>
      <c r="BC161" s="158">
        <v>0</v>
      </c>
      <c r="BD161" s="158">
        <v>0</v>
      </c>
      <c r="BE161" s="158">
        <v>0</v>
      </c>
      <c r="BF161" s="160">
        <v>0</v>
      </c>
      <c r="BG161" s="383">
        <v>2023</v>
      </c>
      <c r="BH161" s="383">
        <v>1</v>
      </c>
      <c r="BI161" s="383">
        <v>19</v>
      </c>
      <c r="BK161" s="147" t="str">
        <f>IF(R161=SUM(Z161,AH161,AP161,AX161,BF161),"○","×")</f>
        <v>○</v>
      </c>
    </row>
    <row r="162" spans="1:63" x14ac:dyDescent="0.2">
      <c r="A162" s="428">
        <v>1351</v>
      </c>
      <c r="B162" s="429"/>
      <c r="C162" s="430"/>
      <c r="D162" s="429"/>
      <c r="E162" s="430"/>
      <c r="F162" s="429"/>
      <c r="G162" s="429"/>
      <c r="H162" s="430"/>
      <c r="I162" s="429"/>
      <c r="J162" s="429"/>
      <c r="K162" s="429"/>
      <c r="L162" s="383"/>
      <c r="M162" s="383" t="s">
        <v>591</v>
      </c>
      <c r="N162" s="383" t="s">
        <v>470</v>
      </c>
      <c r="O162" s="383" t="s">
        <v>592</v>
      </c>
      <c r="P162" s="383" t="s">
        <v>970</v>
      </c>
      <c r="Q162" s="383"/>
      <c r="R162" s="431">
        <v>176000</v>
      </c>
      <c r="S162" s="158">
        <v>0</v>
      </c>
      <c r="T162" s="158">
        <v>0</v>
      </c>
      <c r="U162" s="158">
        <v>0</v>
      </c>
      <c r="V162" s="158">
        <v>0</v>
      </c>
      <c r="W162" s="158">
        <v>0</v>
      </c>
      <c r="X162" s="158">
        <v>0</v>
      </c>
      <c r="Y162" s="158">
        <v>0</v>
      </c>
      <c r="Z162" s="158">
        <v>0</v>
      </c>
      <c r="AA162" s="432">
        <v>0</v>
      </c>
      <c r="AB162" s="432">
        <v>0</v>
      </c>
      <c r="AC162" s="432">
        <v>0</v>
      </c>
      <c r="AD162" s="432">
        <v>0</v>
      </c>
      <c r="AE162" s="432">
        <v>0</v>
      </c>
      <c r="AF162" s="432">
        <v>0</v>
      </c>
      <c r="AG162" s="432">
        <v>0</v>
      </c>
      <c r="AH162" s="432">
        <v>0</v>
      </c>
      <c r="AI162" s="158">
        <v>176860</v>
      </c>
      <c r="AJ162" s="158">
        <v>0</v>
      </c>
      <c r="AK162" s="158">
        <v>176860</v>
      </c>
      <c r="AL162" s="158">
        <v>176860</v>
      </c>
      <c r="AM162" s="158">
        <v>2059200</v>
      </c>
      <c r="AN162" s="158">
        <v>176860</v>
      </c>
      <c r="AO162" s="158">
        <v>176860</v>
      </c>
      <c r="AP162" s="158">
        <v>176000</v>
      </c>
      <c r="AQ162" s="432">
        <v>0</v>
      </c>
      <c r="AR162" s="432">
        <v>0</v>
      </c>
      <c r="AS162" s="432">
        <v>0</v>
      </c>
      <c r="AT162" s="432">
        <v>0</v>
      </c>
      <c r="AU162" s="432">
        <v>0</v>
      </c>
      <c r="AV162" s="432">
        <v>0</v>
      </c>
      <c r="AW162" s="432">
        <v>0</v>
      </c>
      <c r="AX162" s="432">
        <v>0</v>
      </c>
      <c r="AY162" s="158">
        <v>0</v>
      </c>
      <c r="AZ162" s="158">
        <v>0</v>
      </c>
      <c r="BA162" s="158">
        <v>0</v>
      </c>
      <c r="BB162" s="158">
        <v>0</v>
      </c>
      <c r="BC162" s="158">
        <v>0</v>
      </c>
      <c r="BD162" s="158">
        <v>0</v>
      </c>
      <c r="BE162" s="158">
        <v>0</v>
      </c>
      <c r="BF162" s="160">
        <v>0</v>
      </c>
      <c r="BG162" s="383">
        <v>2023</v>
      </c>
      <c r="BH162" s="383">
        <v>1</v>
      </c>
      <c r="BI162" s="383">
        <v>19</v>
      </c>
      <c r="BK162" s="147" t="str">
        <f>IF(R162=SUM(Z162,AH162,AP162,AX162,BF162),"○","×")</f>
        <v>○</v>
      </c>
    </row>
    <row r="163" spans="1:63" x14ac:dyDescent="0.2">
      <c r="A163" s="428">
        <v>1352</v>
      </c>
      <c r="B163" s="429"/>
      <c r="C163" s="430"/>
      <c r="D163" s="429"/>
      <c r="E163" s="430"/>
      <c r="F163" s="429"/>
      <c r="G163" s="429"/>
      <c r="H163" s="430"/>
      <c r="I163" s="429"/>
      <c r="J163" s="429"/>
      <c r="K163" s="429"/>
      <c r="L163" s="383"/>
      <c r="M163" s="383" t="s">
        <v>514</v>
      </c>
      <c r="N163" s="383" t="s">
        <v>343</v>
      </c>
      <c r="O163" s="383" t="s">
        <v>515</v>
      </c>
      <c r="P163" s="383" t="s">
        <v>970</v>
      </c>
      <c r="Q163" s="383"/>
      <c r="R163" s="431">
        <v>380000</v>
      </c>
      <c r="S163" s="158">
        <v>0</v>
      </c>
      <c r="T163" s="158">
        <v>0</v>
      </c>
      <c r="U163" s="158">
        <v>0</v>
      </c>
      <c r="V163" s="158">
        <v>0</v>
      </c>
      <c r="W163" s="158">
        <v>0</v>
      </c>
      <c r="X163" s="158">
        <v>0</v>
      </c>
      <c r="Y163" s="158">
        <v>0</v>
      </c>
      <c r="Z163" s="158">
        <v>0</v>
      </c>
      <c r="AA163" s="432">
        <v>0</v>
      </c>
      <c r="AB163" s="432">
        <v>0</v>
      </c>
      <c r="AC163" s="432">
        <v>0</v>
      </c>
      <c r="AD163" s="432">
        <v>0</v>
      </c>
      <c r="AE163" s="432">
        <v>0</v>
      </c>
      <c r="AF163" s="432">
        <v>0</v>
      </c>
      <c r="AG163" s="432">
        <v>0</v>
      </c>
      <c r="AH163" s="432">
        <v>0</v>
      </c>
      <c r="AI163" s="158">
        <v>380160</v>
      </c>
      <c r="AJ163" s="158">
        <v>0</v>
      </c>
      <c r="AK163" s="158">
        <v>380160</v>
      </c>
      <c r="AL163" s="158">
        <v>380160</v>
      </c>
      <c r="AM163" s="158">
        <v>2196000</v>
      </c>
      <c r="AN163" s="158">
        <v>380160</v>
      </c>
      <c r="AO163" s="158">
        <v>380160</v>
      </c>
      <c r="AP163" s="158">
        <v>380000</v>
      </c>
      <c r="AQ163" s="432">
        <v>0</v>
      </c>
      <c r="AR163" s="432">
        <v>0</v>
      </c>
      <c r="AS163" s="432">
        <v>0</v>
      </c>
      <c r="AT163" s="432">
        <v>0</v>
      </c>
      <c r="AU163" s="432">
        <v>0</v>
      </c>
      <c r="AV163" s="432">
        <v>0</v>
      </c>
      <c r="AW163" s="432">
        <v>0</v>
      </c>
      <c r="AX163" s="432">
        <v>0</v>
      </c>
      <c r="AY163" s="158">
        <v>0</v>
      </c>
      <c r="AZ163" s="158">
        <v>0</v>
      </c>
      <c r="BA163" s="158">
        <v>0</v>
      </c>
      <c r="BB163" s="158">
        <v>0</v>
      </c>
      <c r="BC163" s="158">
        <v>0</v>
      </c>
      <c r="BD163" s="158">
        <v>0</v>
      </c>
      <c r="BE163" s="158">
        <v>0</v>
      </c>
      <c r="BF163" s="160">
        <v>0</v>
      </c>
      <c r="BG163" s="383">
        <v>2023</v>
      </c>
      <c r="BH163" s="383">
        <v>1</v>
      </c>
      <c r="BI163" s="383">
        <v>19</v>
      </c>
      <c r="BK163" s="147" t="str">
        <f>IF(R163=SUM(Z163,AH163,AP163,AX163,BF163),"○","×")</f>
        <v>○</v>
      </c>
    </row>
    <row r="164" spans="1:63" x14ac:dyDescent="0.2">
      <c r="A164" s="428">
        <v>1353</v>
      </c>
      <c r="B164" s="429"/>
      <c r="C164" s="430"/>
      <c r="D164" s="429"/>
      <c r="E164" s="430"/>
      <c r="F164" s="429"/>
      <c r="G164" s="429"/>
      <c r="H164" s="430"/>
      <c r="I164" s="429"/>
      <c r="J164" s="429"/>
      <c r="K164" s="429"/>
      <c r="L164" s="383"/>
      <c r="M164" s="383" t="s">
        <v>593</v>
      </c>
      <c r="N164" s="383" t="s">
        <v>323</v>
      </c>
      <c r="O164" s="383" t="s">
        <v>594</v>
      </c>
      <c r="P164" s="383" t="s">
        <v>970</v>
      </c>
      <c r="Q164" s="383"/>
      <c r="R164" s="431">
        <v>727000</v>
      </c>
      <c r="S164" s="158">
        <v>0</v>
      </c>
      <c r="T164" s="158">
        <v>0</v>
      </c>
      <c r="U164" s="158">
        <v>0</v>
      </c>
      <c r="V164" s="158">
        <v>0</v>
      </c>
      <c r="W164" s="158">
        <v>0</v>
      </c>
      <c r="X164" s="158">
        <v>0</v>
      </c>
      <c r="Y164" s="158">
        <v>0</v>
      </c>
      <c r="Z164" s="158">
        <v>0</v>
      </c>
      <c r="AA164" s="432">
        <v>0</v>
      </c>
      <c r="AB164" s="432">
        <v>0</v>
      </c>
      <c r="AC164" s="432">
        <v>0</v>
      </c>
      <c r="AD164" s="432">
        <v>0</v>
      </c>
      <c r="AE164" s="432">
        <v>0</v>
      </c>
      <c r="AF164" s="432">
        <v>0</v>
      </c>
      <c r="AG164" s="432">
        <v>0</v>
      </c>
      <c r="AH164" s="432">
        <v>0</v>
      </c>
      <c r="AI164" s="158">
        <v>727650</v>
      </c>
      <c r="AJ164" s="158">
        <v>0</v>
      </c>
      <c r="AK164" s="158">
        <v>727650</v>
      </c>
      <c r="AL164" s="158">
        <v>727650</v>
      </c>
      <c r="AM164" s="158">
        <v>6552000</v>
      </c>
      <c r="AN164" s="158">
        <v>727650</v>
      </c>
      <c r="AO164" s="158">
        <v>727650</v>
      </c>
      <c r="AP164" s="158">
        <v>727000</v>
      </c>
      <c r="AQ164" s="432">
        <v>0</v>
      </c>
      <c r="AR164" s="432">
        <v>0</v>
      </c>
      <c r="AS164" s="432">
        <v>0</v>
      </c>
      <c r="AT164" s="432">
        <v>0</v>
      </c>
      <c r="AU164" s="432">
        <v>0</v>
      </c>
      <c r="AV164" s="432">
        <v>0</v>
      </c>
      <c r="AW164" s="432">
        <v>0</v>
      </c>
      <c r="AX164" s="432">
        <v>0</v>
      </c>
      <c r="AY164" s="158">
        <v>0</v>
      </c>
      <c r="AZ164" s="158">
        <v>0</v>
      </c>
      <c r="BA164" s="158">
        <v>0</v>
      </c>
      <c r="BB164" s="158">
        <v>0</v>
      </c>
      <c r="BC164" s="158">
        <v>0</v>
      </c>
      <c r="BD164" s="158">
        <v>0</v>
      </c>
      <c r="BE164" s="158">
        <v>0</v>
      </c>
      <c r="BF164" s="160">
        <v>0</v>
      </c>
      <c r="BG164" s="383">
        <v>2023</v>
      </c>
      <c r="BH164" s="383">
        <v>1</v>
      </c>
      <c r="BI164" s="383">
        <v>19</v>
      </c>
      <c r="BK164" s="147" t="str">
        <f>IF(R164=SUM(Z164,AH164,AP164,AX164,BF164),"○","×")</f>
        <v>○</v>
      </c>
    </row>
    <row r="165" spans="1:63" x14ac:dyDescent="0.2">
      <c r="A165" s="428">
        <v>1354</v>
      </c>
      <c r="B165" s="429"/>
      <c r="C165" s="430"/>
      <c r="D165" s="429"/>
      <c r="E165" s="430"/>
      <c r="F165" s="429"/>
      <c r="G165" s="429"/>
      <c r="H165" s="430"/>
      <c r="I165" s="429"/>
      <c r="J165" s="429"/>
      <c r="K165" s="429"/>
      <c r="L165" s="383"/>
      <c r="M165" s="383" t="s">
        <v>362</v>
      </c>
      <c r="N165" s="383" t="s">
        <v>326</v>
      </c>
      <c r="O165" s="383" t="s">
        <v>363</v>
      </c>
      <c r="P165" s="383" t="s">
        <v>970</v>
      </c>
      <c r="Q165" s="383"/>
      <c r="R165" s="431">
        <v>33000</v>
      </c>
      <c r="S165" s="158">
        <v>0</v>
      </c>
      <c r="T165" s="158">
        <v>0</v>
      </c>
      <c r="U165" s="158">
        <v>0</v>
      </c>
      <c r="V165" s="158">
        <v>0</v>
      </c>
      <c r="W165" s="158">
        <v>0</v>
      </c>
      <c r="X165" s="158">
        <v>0</v>
      </c>
      <c r="Y165" s="158">
        <v>0</v>
      </c>
      <c r="Z165" s="158">
        <v>0</v>
      </c>
      <c r="AA165" s="432">
        <v>0</v>
      </c>
      <c r="AB165" s="432">
        <v>0</v>
      </c>
      <c r="AC165" s="432">
        <v>0</v>
      </c>
      <c r="AD165" s="432">
        <v>0</v>
      </c>
      <c r="AE165" s="432">
        <v>0</v>
      </c>
      <c r="AF165" s="432">
        <v>0</v>
      </c>
      <c r="AG165" s="432">
        <v>0</v>
      </c>
      <c r="AH165" s="432">
        <v>0</v>
      </c>
      <c r="AI165" s="158">
        <v>33090</v>
      </c>
      <c r="AJ165" s="158">
        <v>0</v>
      </c>
      <c r="AK165" s="158">
        <v>33090</v>
      </c>
      <c r="AL165" s="158">
        <v>33090</v>
      </c>
      <c r="AM165" s="158">
        <v>2592000</v>
      </c>
      <c r="AN165" s="158">
        <v>33090</v>
      </c>
      <c r="AO165" s="158">
        <v>33090</v>
      </c>
      <c r="AP165" s="158">
        <v>33000</v>
      </c>
      <c r="AQ165" s="432">
        <v>0</v>
      </c>
      <c r="AR165" s="432">
        <v>0</v>
      </c>
      <c r="AS165" s="432">
        <v>0</v>
      </c>
      <c r="AT165" s="432">
        <v>0</v>
      </c>
      <c r="AU165" s="432">
        <v>0</v>
      </c>
      <c r="AV165" s="432">
        <v>0</v>
      </c>
      <c r="AW165" s="432">
        <v>0</v>
      </c>
      <c r="AX165" s="432">
        <v>0</v>
      </c>
      <c r="AY165" s="158">
        <v>0</v>
      </c>
      <c r="AZ165" s="158">
        <v>0</v>
      </c>
      <c r="BA165" s="158">
        <v>0</v>
      </c>
      <c r="BB165" s="158">
        <v>0</v>
      </c>
      <c r="BC165" s="158">
        <v>0</v>
      </c>
      <c r="BD165" s="158">
        <v>0</v>
      </c>
      <c r="BE165" s="158">
        <v>0</v>
      </c>
      <c r="BF165" s="160">
        <v>0</v>
      </c>
      <c r="BG165" s="383">
        <v>2023</v>
      </c>
      <c r="BH165" s="383">
        <v>1</v>
      </c>
      <c r="BI165" s="383">
        <v>19</v>
      </c>
      <c r="BK165" s="147" t="str">
        <f>IF(R165=SUM(Z165,AH165,AP165,AX165,BF165),"○","×")</f>
        <v>○</v>
      </c>
    </row>
    <row r="166" spans="1:63" s="152" customFormat="1" x14ac:dyDescent="0.2">
      <c r="A166" s="428">
        <v>1355</v>
      </c>
      <c r="B166" s="429"/>
      <c r="C166" s="430"/>
      <c r="D166" s="429"/>
      <c r="E166" s="430"/>
      <c r="F166" s="429"/>
      <c r="G166" s="429"/>
      <c r="H166" s="430"/>
      <c r="I166" s="429"/>
      <c r="J166" s="429"/>
      <c r="K166" s="429"/>
      <c r="L166" s="383"/>
      <c r="M166" s="383" t="s">
        <v>595</v>
      </c>
      <c r="N166" s="383" t="s">
        <v>367</v>
      </c>
      <c r="O166" s="383" t="s">
        <v>530</v>
      </c>
      <c r="P166" s="383" t="s">
        <v>970</v>
      </c>
      <c r="Q166" s="383"/>
      <c r="R166" s="431">
        <v>120000</v>
      </c>
      <c r="S166" s="158">
        <v>0</v>
      </c>
      <c r="T166" s="158">
        <v>0</v>
      </c>
      <c r="U166" s="158">
        <v>0</v>
      </c>
      <c r="V166" s="158">
        <v>0</v>
      </c>
      <c r="W166" s="158">
        <v>0</v>
      </c>
      <c r="X166" s="158">
        <v>0</v>
      </c>
      <c r="Y166" s="158">
        <v>0</v>
      </c>
      <c r="Z166" s="158">
        <v>0</v>
      </c>
      <c r="AA166" s="432">
        <v>0</v>
      </c>
      <c r="AB166" s="432">
        <v>0</v>
      </c>
      <c r="AC166" s="432">
        <v>0</v>
      </c>
      <c r="AD166" s="432">
        <v>0</v>
      </c>
      <c r="AE166" s="432">
        <v>0</v>
      </c>
      <c r="AF166" s="432">
        <v>0</v>
      </c>
      <c r="AG166" s="432">
        <v>0</v>
      </c>
      <c r="AH166" s="432">
        <v>0</v>
      </c>
      <c r="AI166" s="158">
        <v>120678</v>
      </c>
      <c r="AJ166" s="158">
        <v>0</v>
      </c>
      <c r="AK166" s="158">
        <v>120678</v>
      </c>
      <c r="AL166" s="158">
        <v>120678</v>
      </c>
      <c r="AM166" s="158">
        <v>1317600</v>
      </c>
      <c r="AN166" s="158">
        <v>120678</v>
      </c>
      <c r="AO166" s="158">
        <v>120678</v>
      </c>
      <c r="AP166" s="158">
        <v>120000</v>
      </c>
      <c r="AQ166" s="432">
        <v>0</v>
      </c>
      <c r="AR166" s="432">
        <v>0</v>
      </c>
      <c r="AS166" s="432">
        <v>0</v>
      </c>
      <c r="AT166" s="432">
        <v>0</v>
      </c>
      <c r="AU166" s="432">
        <v>0</v>
      </c>
      <c r="AV166" s="432">
        <v>0</v>
      </c>
      <c r="AW166" s="432">
        <v>0</v>
      </c>
      <c r="AX166" s="432">
        <v>0</v>
      </c>
      <c r="AY166" s="158">
        <v>0</v>
      </c>
      <c r="AZ166" s="158">
        <v>0</v>
      </c>
      <c r="BA166" s="158">
        <v>0</v>
      </c>
      <c r="BB166" s="158">
        <v>0</v>
      </c>
      <c r="BC166" s="158">
        <v>0</v>
      </c>
      <c r="BD166" s="158">
        <v>0</v>
      </c>
      <c r="BE166" s="158">
        <v>0</v>
      </c>
      <c r="BF166" s="160">
        <v>0</v>
      </c>
      <c r="BG166" s="383">
        <v>2023</v>
      </c>
      <c r="BH166" s="383">
        <v>1</v>
      </c>
      <c r="BI166" s="383">
        <v>19</v>
      </c>
      <c r="BJ166" s="148"/>
      <c r="BK166" s="147" t="str">
        <f>IF(R166=SUM(Z166,AH166,AP166,AX166,BF166),"○","×")</f>
        <v>○</v>
      </c>
    </row>
    <row r="167" spans="1:63" x14ac:dyDescent="0.2">
      <c r="A167" s="428">
        <v>1356</v>
      </c>
      <c r="B167" s="429"/>
      <c r="C167" s="430"/>
      <c r="D167" s="429"/>
      <c r="E167" s="430"/>
      <c r="F167" s="429"/>
      <c r="G167" s="429"/>
      <c r="H167" s="430"/>
      <c r="I167" s="429"/>
      <c r="J167" s="429"/>
      <c r="K167" s="429"/>
      <c r="L167" s="383"/>
      <c r="M167" s="383" t="s">
        <v>596</v>
      </c>
      <c r="N167" s="383" t="s">
        <v>323</v>
      </c>
      <c r="O167" s="383" t="s">
        <v>418</v>
      </c>
      <c r="P167" s="383" t="s">
        <v>970</v>
      </c>
      <c r="Q167" s="383"/>
      <c r="R167" s="431">
        <v>34000</v>
      </c>
      <c r="S167" s="158">
        <v>0</v>
      </c>
      <c r="T167" s="158">
        <v>0</v>
      </c>
      <c r="U167" s="158">
        <v>0</v>
      </c>
      <c r="V167" s="158">
        <v>0</v>
      </c>
      <c r="W167" s="158">
        <v>0</v>
      </c>
      <c r="X167" s="158">
        <v>0</v>
      </c>
      <c r="Y167" s="158">
        <v>0</v>
      </c>
      <c r="Z167" s="158">
        <v>0</v>
      </c>
      <c r="AA167" s="432">
        <v>0</v>
      </c>
      <c r="AB167" s="432">
        <v>0</v>
      </c>
      <c r="AC167" s="432">
        <v>0</v>
      </c>
      <c r="AD167" s="432">
        <v>0</v>
      </c>
      <c r="AE167" s="432">
        <v>0</v>
      </c>
      <c r="AF167" s="432">
        <v>0</v>
      </c>
      <c r="AG167" s="432">
        <v>0</v>
      </c>
      <c r="AH167" s="432">
        <v>0</v>
      </c>
      <c r="AI167" s="158">
        <v>34065</v>
      </c>
      <c r="AJ167" s="158">
        <v>0</v>
      </c>
      <c r="AK167" s="158">
        <v>34065</v>
      </c>
      <c r="AL167" s="158">
        <v>34065</v>
      </c>
      <c r="AM167" s="158">
        <v>5148000</v>
      </c>
      <c r="AN167" s="158">
        <v>34065</v>
      </c>
      <c r="AO167" s="158">
        <v>34065</v>
      </c>
      <c r="AP167" s="158">
        <v>34000</v>
      </c>
      <c r="AQ167" s="432">
        <v>0</v>
      </c>
      <c r="AR167" s="432">
        <v>0</v>
      </c>
      <c r="AS167" s="432">
        <v>0</v>
      </c>
      <c r="AT167" s="432">
        <v>0</v>
      </c>
      <c r="AU167" s="432">
        <v>0</v>
      </c>
      <c r="AV167" s="432">
        <v>0</v>
      </c>
      <c r="AW167" s="432">
        <v>0</v>
      </c>
      <c r="AX167" s="432">
        <v>0</v>
      </c>
      <c r="AY167" s="158">
        <v>0</v>
      </c>
      <c r="AZ167" s="158">
        <v>0</v>
      </c>
      <c r="BA167" s="158">
        <v>0</v>
      </c>
      <c r="BB167" s="158">
        <v>0</v>
      </c>
      <c r="BC167" s="158">
        <v>0</v>
      </c>
      <c r="BD167" s="158">
        <v>0</v>
      </c>
      <c r="BE167" s="158">
        <v>0</v>
      </c>
      <c r="BF167" s="160">
        <v>0</v>
      </c>
      <c r="BG167" s="383">
        <v>2023</v>
      </c>
      <c r="BH167" s="383">
        <v>1</v>
      </c>
      <c r="BI167" s="383">
        <v>19</v>
      </c>
      <c r="BJ167" s="152"/>
      <c r="BK167" s="147" t="str">
        <f>IF(R167=SUM(Z167,AH167,AP167,AX167,BF167),"○","×")</f>
        <v>○</v>
      </c>
    </row>
    <row r="168" spans="1:63" s="152" customFormat="1" x14ac:dyDescent="0.2">
      <c r="A168" s="428">
        <v>1357</v>
      </c>
      <c r="B168" s="429"/>
      <c r="C168" s="430"/>
      <c r="D168" s="429"/>
      <c r="E168" s="430"/>
      <c r="F168" s="429"/>
      <c r="G168" s="429"/>
      <c r="H168" s="430"/>
      <c r="I168" s="429"/>
      <c r="J168" s="429"/>
      <c r="K168" s="429"/>
      <c r="L168" s="383"/>
      <c r="M168" s="383" t="s">
        <v>597</v>
      </c>
      <c r="N168" s="383" t="s">
        <v>323</v>
      </c>
      <c r="O168" s="383" t="s">
        <v>395</v>
      </c>
      <c r="P168" s="383" t="s">
        <v>970</v>
      </c>
      <c r="Q168" s="383"/>
      <c r="R168" s="431">
        <v>482000</v>
      </c>
      <c r="S168" s="158">
        <v>0</v>
      </c>
      <c r="T168" s="158">
        <v>0</v>
      </c>
      <c r="U168" s="158">
        <v>0</v>
      </c>
      <c r="V168" s="158">
        <v>0</v>
      </c>
      <c r="W168" s="158">
        <v>0</v>
      </c>
      <c r="X168" s="158">
        <v>0</v>
      </c>
      <c r="Y168" s="158">
        <v>0</v>
      </c>
      <c r="Z168" s="158">
        <v>0</v>
      </c>
      <c r="AA168" s="432">
        <v>0</v>
      </c>
      <c r="AB168" s="432">
        <v>0</v>
      </c>
      <c r="AC168" s="432">
        <v>0</v>
      </c>
      <c r="AD168" s="432">
        <v>0</v>
      </c>
      <c r="AE168" s="432">
        <v>0</v>
      </c>
      <c r="AF168" s="432">
        <v>0</v>
      </c>
      <c r="AG168" s="432">
        <v>0</v>
      </c>
      <c r="AH168" s="432">
        <v>0</v>
      </c>
      <c r="AI168" s="158">
        <v>482702</v>
      </c>
      <c r="AJ168" s="158">
        <v>0</v>
      </c>
      <c r="AK168" s="158">
        <v>482702</v>
      </c>
      <c r="AL168" s="158">
        <v>482702</v>
      </c>
      <c r="AM168" s="158">
        <v>2700000</v>
      </c>
      <c r="AN168" s="158">
        <v>482702</v>
      </c>
      <c r="AO168" s="158">
        <v>482702</v>
      </c>
      <c r="AP168" s="158">
        <v>482000</v>
      </c>
      <c r="AQ168" s="432">
        <v>0</v>
      </c>
      <c r="AR168" s="432">
        <v>0</v>
      </c>
      <c r="AS168" s="432">
        <v>0</v>
      </c>
      <c r="AT168" s="432">
        <v>0</v>
      </c>
      <c r="AU168" s="432">
        <v>0</v>
      </c>
      <c r="AV168" s="432">
        <v>0</v>
      </c>
      <c r="AW168" s="432">
        <v>0</v>
      </c>
      <c r="AX168" s="432">
        <v>0</v>
      </c>
      <c r="AY168" s="158">
        <v>0</v>
      </c>
      <c r="AZ168" s="158">
        <v>0</v>
      </c>
      <c r="BA168" s="158">
        <v>0</v>
      </c>
      <c r="BB168" s="158">
        <v>0</v>
      </c>
      <c r="BC168" s="158">
        <v>0</v>
      </c>
      <c r="BD168" s="158">
        <v>0</v>
      </c>
      <c r="BE168" s="158">
        <v>0</v>
      </c>
      <c r="BF168" s="160">
        <v>0</v>
      </c>
      <c r="BG168" s="383">
        <v>2023</v>
      </c>
      <c r="BH168" s="383">
        <v>1</v>
      </c>
      <c r="BI168" s="383">
        <v>19</v>
      </c>
      <c r="BJ168" s="148"/>
      <c r="BK168" s="147" t="str">
        <f>IF(R168=SUM(Z168,AH168,AP168,AX168,BF168),"○","×")</f>
        <v>○</v>
      </c>
    </row>
    <row r="169" spans="1:63" x14ac:dyDescent="0.2">
      <c r="A169" s="428">
        <v>1358</v>
      </c>
      <c r="B169" s="429"/>
      <c r="C169" s="430"/>
      <c r="D169" s="429"/>
      <c r="E169" s="430"/>
      <c r="F169" s="429"/>
      <c r="G169" s="429"/>
      <c r="H169" s="430"/>
      <c r="I169" s="429"/>
      <c r="J169" s="429"/>
      <c r="K169" s="429"/>
      <c r="L169" s="383"/>
      <c r="M169" s="383" t="s">
        <v>598</v>
      </c>
      <c r="N169" s="383" t="s">
        <v>377</v>
      </c>
      <c r="O169" s="383" t="s">
        <v>599</v>
      </c>
      <c r="P169" s="383" t="s">
        <v>970</v>
      </c>
      <c r="Q169" s="383"/>
      <c r="R169" s="431">
        <v>972000</v>
      </c>
      <c r="S169" s="158">
        <v>0</v>
      </c>
      <c r="T169" s="158">
        <v>0</v>
      </c>
      <c r="U169" s="158">
        <v>0</v>
      </c>
      <c r="V169" s="158">
        <v>0</v>
      </c>
      <c r="W169" s="158">
        <v>0</v>
      </c>
      <c r="X169" s="158">
        <v>0</v>
      </c>
      <c r="Y169" s="158">
        <v>0</v>
      </c>
      <c r="Z169" s="158">
        <v>0</v>
      </c>
      <c r="AA169" s="432">
        <v>0</v>
      </c>
      <c r="AB169" s="432">
        <v>0</v>
      </c>
      <c r="AC169" s="432">
        <v>0</v>
      </c>
      <c r="AD169" s="432">
        <v>0</v>
      </c>
      <c r="AE169" s="432">
        <v>0</v>
      </c>
      <c r="AF169" s="432">
        <v>0</v>
      </c>
      <c r="AG169" s="432">
        <v>0</v>
      </c>
      <c r="AH169" s="432">
        <v>0</v>
      </c>
      <c r="AI169" s="158">
        <v>972050</v>
      </c>
      <c r="AJ169" s="158">
        <v>0</v>
      </c>
      <c r="AK169" s="158">
        <v>972050</v>
      </c>
      <c r="AL169" s="158">
        <v>972050</v>
      </c>
      <c r="AM169" s="158">
        <v>2102400</v>
      </c>
      <c r="AN169" s="158">
        <v>972050</v>
      </c>
      <c r="AO169" s="158">
        <v>972050</v>
      </c>
      <c r="AP169" s="158">
        <v>972000</v>
      </c>
      <c r="AQ169" s="432">
        <v>0</v>
      </c>
      <c r="AR169" s="432">
        <v>0</v>
      </c>
      <c r="AS169" s="432">
        <v>0</v>
      </c>
      <c r="AT169" s="432">
        <v>0</v>
      </c>
      <c r="AU169" s="432">
        <v>0</v>
      </c>
      <c r="AV169" s="432">
        <v>0</v>
      </c>
      <c r="AW169" s="432">
        <v>0</v>
      </c>
      <c r="AX169" s="432">
        <v>0</v>
      </c>
      <c r="AY169" s="158">
        <v>0</v>
      </c>
      <c r="AZ169" s="158">
        <v>0</v>
      </c>
      <c r="BA169" s="158">
        <v>0</v>
      </c>
      <c r="BB169" s="158">
        <v>0</v>
      </c>
      <c r="BC169" s="158">
        <v>0</v>
      </c>
      <c r="BD169" s="158">
        <v>0</v>
      </c>
      <c r="BE169" s="158">
        <v>0</v>
      </c>
      <c r="BF169" s="160">
        <v>0</v>
      </c>
      <c r="BG169" s="383">
        <v>2023</v>
      </c>
      <c r="BH169" s="383">
        <v>1</v>
      </c>
      <c r="BI169" s="383">
        <v>19</v>
      </c>
      <c r="BJ169" s="152"/>
      <c r="BK169" s="147" t="str">
        <f>IF(R169=SUM(Z169,AH169,AP169,AX169,BF169),"○","×")</f>
        <v>○</v>
      </c>
    </row>
    <row r="170" spans="1:63" x14ac:dyDescent="0.2">
      <c r="A170" s="428">
        <v>1359</v>
      </c>
      <c r="B170" s="429"/>
      <c r="C170" s="430"/>
      <c r="D170" s="429"/>
      <c r="E170" s="430"/>
      <c r="F170" s="429"/>
      <c r="G170" s="429"/>
      <c r="H170" s="430"/>
      <c r="I170" s="429"/>
      <c r="J170" s="429"/>
      <c r="K170" s="429"/>
      <c r="L170" s="383"/>
      <c r="M170" s="383" t="s">
        <v>600</v>
      </c>
      <c r="N170" s="383" t="s">
        <v>323</v>
      </c>
      <c r="O170" s="383" t="s">
        <v>601</v>
      </c>
      <c r="P170" s="383" t="s">
        <v>970</v>
      </c>
      <c r="Q170" s="383"/>
      <c r="R170" s="431">
        <v>1147000</v>
      </c>
      <c r="S170" s="158">
        <v>0</v>
      </c>
      <c r="T170" s="158">
        <v>0</v>
      </c>
      <c r="U170" s="158">
        <v>0</v>
      </c>
      <c r="V170" s="158">
        <v>0</v>
      </c>
      <c r="W170" s="158">
        <v>0</v>
      </c>
      <c r="X170" s="158">
        <v>0</v>
      </c>
      <c r="Y170" s="158">
        <v>0</v>
      </c>
      <c r="Z170" s="158">
        <v>0</v>
      </c>
      <c r="AA170" s="432">
        <v>0</v>
      </c>
      <c r="AB170" s="432">
        <v>0</v>
      </c>
      <c r="AC170" s="432">
        <v>0</v>
      </c>
      <c r="AD170" s="432">
        <v>0</v>
      </c>
      <c r="AE170" s="432">
        <v>0</v>
      </c>
      <c r="AF170" s="432">
        <v>0</v>
      </c>
      <c r="AG170" s="432">
        <v>0</v>
      </c>
      <c r="AH170" s="432">
        <v>0</v>
      </c>
      <c r="AI170" s="158">
        <v>1147430</v>
      </c>
      <c r="AJ170" s="158">
        <v>0</v>
      </c>
      <c r="AK170" s="158">
        <v>1147430</v>
      </c>
      <c r="AL170" s="158">
        <v>1147430</v>
      </c>
      <c r="AM170" s="158">
        <v>2102400</v>
      </c>
      <c r="AN170" s="158">
        <v>1147430</v>
      </c>
      <c r="AO170" s="158">
        <v>1147430</v>
      </c>
      <c r="AP170" s="158">
        <v>1147000</v>
      </c>
      <c r="AQ170" s="432">
        <v>0</v>
      </c>
      <c r="AR170" s="432">
        <v>0</v>
      </c>
      <c r="AS170" s="432">
        <v>0</v>
      </c>
      <c r="AT170" s="432">
        <v>0</v>
      </c>
      <c r="AU170" s="432">
        <v>0</v>
      </c>
      <c r="AV170" s="432">
        <v>0</v>
      </c>
      <c r="AW170" s="432">
        <v>0</v>
      </c>
      <c r="AX170" s="432">
        <v>0</v>
      </c>
      <c r="AY170" s="158">
        <v>0</v>
      </c>
      <c r="AZ170" s="158">
        <v>0</v>
      </c>
      <c r="BA170" s="158">
        <v>0</v>
      </c>
      <c r="BB170" s="158">
        <v>0</v>
      </c>
      <c r="BC170" s="158">
        <v>0</v>
      </c>
      <c r="BD170" s="158">
        <v>0</v>
      </c>
      <c r="BE170" s="158">
        <v>0</v>
      </c>
      <c r="BF170" s="160">
        <v>0</v>
      </c>
      <c r="BG170" s="383">
        <v>2023</v>
      </c>
      <c r="BH170" s="383">
        <v>1</v>
      </c>
      <c r="BI170" s="383">
        <v>19</v>
      </c>
      <c r="BK170" s="147" t="str">
        <f>IF(R170=SUM(Z170,AH170,AP170,AX170,BF170),"○","×")</f>
        <v>○</v>
      </c>
    </row>
    <row r="171" spans="1:63" x14ac:dyDescent="0.2">
      <c r="A171" s="428">
        <v>1360</v>
      </c>
      <c r="B171" s="429"/>
      <c r="C171" s="430"/>
      <c r="D171" s="429"/>
      <c r="E171" s="430"/>
      <c r="F171" s="429"/>
      <c r="G171" s="429"/>
      <c r="H171" s="430"/>
      <c r="I171" s="429"/>
      <c r="J171" s="429"/>
      <c r="K171" s="429"/>
      <c r="L171" s="383"/>
      <c r="M171" s="383" t="s">
        <v>600</v>
      </c>
      <c r="N171" s="383" t="s">
        <v>323</v>
      </c>
      <c r="O171" s="383" t="s">
        <v>601</v>
      </c>
      <c r="P171" s="383" t="s">
        <v>970</v>
      </c>
      <c r="Q171" s="383"/>
      <c r="R171" s="431">
        <v>379000</v>
      </c>
      <c r="S171" s="158">
        <v>0</v>
      </c>
      <c r="T171" s="158">
        <v>0</v>
      </c>
      <c r="U171" s="158">
        <v>0</v>
      </c>
      <c r="V171" s="158">
        <v>0</v>
      </c>
      <c r="W171" s="158">
        <v>0</v>
      </c>
      <c r="X171" s="158">
        <v>0</v>
      </c>
      <c r="Y171" s="158">
        <v>0</v>
      </c>
      <c r="Z171" s="158">
        <v>0</v>
      </c>
      <c r="AA171" s="432">
        <v>0</v>
      </c>
      <c r="AB171" s="432">
        <v>0</v>
      </c>
      <c r="AC171" s="432">
        <v>0</v>
      </c>
      <c r="AD171" s="432">
        <v>0</v>
      </c>
      <c r="AE171" s="432">
        <v>0</v>
      </c>
      <c r="AF171" s="432">
        <v>0</v>
      </c>
      <c r="AG171" s="432">
        <v>0</v>
      </c>
      <c r="AH171" s="432">
        <v>0</v>
      </c>
      <c r="AI171" s="158">
        <v>379160</v>
      </c>
      <c r="AJ171" s="158">
        <v>0</v>
      </c>
      <c r="AK171" s="158">
        <v>379160</v>
      </c>
      <c r="AL171" s="158">
        <v>379160</v>
      </c>
      <c r="AM171" s="158">
        <v>2462400</v>
      </c>
      <c r="AN171" s="158">
        <v>379160</v>
      </c>
      <c r="AO171" s="158">
        <v>379160</v>
      </c>
      <c r="AP171" s="158">
        <v>379000</v>
      </c>
      <c r="AQ171" s="432">
        <v>0</v>
      </c>
      <c r="AR171" s="432">
        <v>0</v>
      </c>
      <c r="AS171" s="432">
        <v>0</v>
      </c>
      <c r="AT171" s="432">
        <v>0</v>
      </c>
      <c r="AU171" s="432">
        <v>0</v>
      </c>
      <c r="AV171" s="432">
        <v>0</v>
      </c>
      <c r="AW171" s="432">
        <v>0</v>
      </c>
      <c r="AX171" s="432">
        <v>0</v>
      </c>
      <c r="AY171" s="158">
        <v>0</v>
      </c>
      <c r="AZ171" s="158">
        <v>0</v>
      </c>
      <c r="BA171" s="158">
        <v>0</v>
      </c>
      <c r="BB171" s="158">
        <v>0</v>
      </c>
      <c r="BC171" s="158">
        <v>0</v>
      </c>
      <c r="BD171" s="158">
        <v>0</v>
      </c>
      <c r="BE171" s="158">
        <v>0</v>
      </c>
      <c r="BF171" s="160">
        <v>0</v>
      </c>
      <c r="BG171" s="383">
        <v>2023</v>
      </c>
      <c r="BH171" s="383">
        <v>1</v>
      </c>
      <c r="BI171" s="383">
        <v>19</v>
      </c>
      <c r="BK171" s="147" t="str">
        <f>IF(R171=SUM(Z171,AH171,AP171,AX171,BF171),"○","×")</f>
        <v>○</v>
      </c>
    </row>
    <row r="172" spans="1:63" x14ac:dyDescent="0.2">
      <c r="A172" s="428">
        <v>1361</v>
      </c>
      <c r="B172" s="429"/>
      <c r="C172" s="430"/>
      <c r="D172" s="429"/>
      <c r="E172" s="430"/>
      <c r="F172" s="429"/>
      <c r="G172" s="429"/>
      <c r="H172" s="430"/>
      <c r="I172" s="429"/>
      <c r="J172" s="429"/>
      <c r="K172" s="429"/>
      <c r="L172" s="383"/>
      <c r="M172" s="383" t="s">
        <v>602</v>
      </c>
      <c r="N172" s="383" t="s">
        <v>329</v>
      </c>
      <c r="O172" s="383" t="s">
        <v>603</v>
      </c>
      <c r="P172" s="383" t="s">
        <v>970</v>
      </c>
      <c r="Q172" s="383"/>
      <c r="R172" s="431">
        <v>263000</v>
      </c>
      <c r="S172" s="158">
        <v>0</v>
      </c>
      <c r="T172" s="158">
        <v>0</v>
      </c>
      <c r="U172" s="158">
        <v>0</v>
      </c>
      <c r="V172" s="158">
        <v>0</v>
      </c>
      <c r="W172" s="158">
        <v>0</v>
      </c>
      <c r="X172" s="158">
        <v>0</v>
      </c>
      <c r="Y172" s="158">
        <v>0</v>
      </c>
      <c r="Z172" s="158">
        <v>0</v>
      </c>
      <c r="AA172" s="432">
        <v>0</v>
      </c>
      <c r="AB172" s="432">
        <v>0</v>
      </c>
      <c r="AC172" s="432">
        <v>0</v>
      </c>
      <c r="AD172" s="432">
        <v>0</v>
      </c>
      <c r="AE172" s="432">
        <v>0</v>
      </c>
      <c r="AF172" s="432">
        <v>0</v>
      </c>
      <c r="AG172" s="432">
        <v>0</v>
      </c>
      <c r="AH172" s="432">
        <v>0</v>
      </c>
      <c r="AI172" s="158">
        <v>263160</v>
      </c>
      <c r="AJ172" s="158">
        <v>0</v>
      </c>
      <c r="AK172" s="158">
        <v>263160</v>
      </c>
      <c r="AL172" s="158">
        <v>263160</v>
      </c>
      <c r="AM172" s="158">
        <v>2570400</v>
      </c>
      <c r="AN172" s="158">
        <v>263160</v>
      </c>
      <c r="AO172" s="158">
        <v>263160</v>
      </c>
      <c r="AP172" s="158">
        <v>263000</v>
      </c>
      <c r="AQ172" s="432">
        <v>0</v>
      </c>
      <c r="AR172" s="432">
        <v>0</v>
      </c>
      <c r="AS172" s="432">
        <v>0</v>
      </c>
      <c r="AT172" s="432">
        <v>0</v>
      </c>
      <c r="AU172" s="432">
        <v>0</v>
      </c>
      <c r="AV172" s="432">
        <v>0</v>
      </c>
      <c r="AW172" s="432">
        <v>0</v>
      </c>
      <c r="AX172" s="432">
        <v>0</v>
      </c>
      <c r="AY172" s="158">
        <v>0</v>
      </c>
      <c r="AZ172" s="158">
        <v>0</v>
      </c>
      <c r="BA172" s="158">
        <v>0</v>
      </c>
      <c r="BB172" s="158">
        <v>0</v>
      </c>
      <c r="BC172" s="158">
        <v>0</v>
      </c>
      <c r="BD172" s="158">
        <v>0</v>
      </c>
      <c r="BE172" s="158">
        <v>0</v>
      </c>
      <c r="BF172" s="160">
        <v>0</v>
      </c>
      <c r="BG172" s="383">
        <v>2023</v>
      </c>
      <c r="BH172" s="383">
        <v>1</v>
      </c>
      <c r="BI172" s="383">
        <v>19</v>
      </c>
      <c r="BK172" s="147" t="str">
        <f>IF(R172=SUM(Z172,AH172,AP172,AX172,BF172),"○","×")</f>
        <v>○</v>
      </c>
    </row>
    <row r="173" spans="1:63" x14ac:dyDescent="0.2">
      <c r="A173" s="428">
        <v>1362</v>
      </c>
      <c r="B173" s="429"/>
      <c r="C173" s="430"/>
      <c r="D173" s="429"/>
      <c r="E173" s="430"/>
      <c r="F173" s="429"/>
      <c r="G173" s="429"/>
      <c r="H173" s="430"/>
      <c r="I173" s="429"/>
      <c r="J173" s="429"/>
      <c r="K173" s="429"/>
      <c r="L173" s="383"/>
      <c r="M173" s="383" t="s">
        <v>604</v>
      </c>
      <c r="N173" s="383" t="s">
        <v>427</v>
      </c>
      <c r="O173" s="383" t="s">
        <v>333</v>
      </c>
      <c r="P173" s="383" t="s">
        <v>971</v>
      </c>
      <c r="Q173" s="383"/>
      <c r="R173" s="431">
        <v>864000</v>
      </c>
      <c r="S173" s="158">
        <v>0</v>
      </c>
      <c r="T173" s="158">
        <v>0</v>
      </c>
      <c r="U173" s="158">
        <v>0</v>
      </c>
      <c r="V173" s="158">
        <v>0</v>
      </c>
      <c r="W173" s="158">
        <v>0</v>
      </c>
      <c r="X173" s="158">
        <v>0</v>
      </c>
      <c r="Y173" s="158">
        <v>0</v>
      </c>
      <c r="Z173" s="158">
        <v>0</v>
      </c>
      <c r="AA173" s="432">
        <v>0</v>
      </c>
      <c r="AB173" s="432">
        <v>0</v>
      </c>
      <c r="AC173" s="432">
        <v>0</v>
      </c>
      <c r="AD173" s="432">
        <v>0</v>
      </c>
      <c r="AE173" s="432">
        <v>0</v>
      </c>
      <c r="AF173" s="432">
        <v>0</v>
      </c>
      <c r="AG173" s="432">
        <v>0</v>
      </c>
      <c r="AH173" s="432">
        <v>0</v>
      </c>
      <c r="AI173" s="158">
        <v>949300</v>
      </c>
      <c r="AJ173" s="158">
        <v>0</v>
      </c>
      <c r="AK173" s="158">
        <v>949300</v>
      </c>
      <c r="AL173" s="158">
        <v>949300</v>
      </c>
      <c r="AM173" s="158">
        <v>864000</v>
      </c>
      <c r="AN173" s="158">
        <v>864000</v>
      </c>
      <c r="AO173" s="158">
        <v>864000</v>
      </c>
      <c r="AP173" s="158">
        <v>864000</v>
      </c>
      <c r="AQ173" s="432">
        <v>0</v>
      </c>
      <c r="AR173" s="432">
        <v>0</v>
      </c>
      <c r="AS173" s="432">
        <v>0</v>
      </c>
      <c r="AT173" s="432">
        <v>0</v>
      </c>
      <c r="AU173" s="432">
        <v>0</v>
      </c>
      <c r="AV173" s="432">
        <v>0</v>
      </c>
      <c r="AW173" s="432">
        <v>0</v>
      </c>
      <c r="AX173" s="432">
        <v>0</v>
      </c>
      <c r="AY173" s="158">
        <v>0</v>
      </c>
      <c r="AZ173" s="158">
        <v>0</v>
      </c>
      <c r="BA173" s="158">
        <v>0</v>
      </c>
      <c r="BB173" s="158">
        <v>0</v>
      </c>
      <c r="BC173" s="158">
        <v>0</v>
      </c>
      <c r="BD173" s="158">
        <v>0</v>
      </c>
      <c r="BE173" s="158">
        <v>0</v>
      </c>
      <c r="BF173" s="160">
        <v>0</v>
      </c>
      <c r="BG173" s="383">
        <v>2023</v>
      </c>
      <c r="BH173" s="383">
        <v>1</v>
      </c>
      <c r="BI173" s="383">
        <v>19</v>
      </c>
      <c r="BK173" s="147" t="str">
        <f>IF(R173=SUM(Z173,AH173,AP173,AX173,BF173),"○","×")</f>
        <v>○</v>
      </c>
    </row>
    <row r="174" spans="1:63" x14ac:dyDescent="0.2">
      <c r="A174" s="428">
        <v>1363</v>
      </c>
      <c r="B174" s="429"/>
      <c r="C174" s="430"/>
      <c r="D174" s="429"/>
      <c r="E174" s="430"/>
      <c r="F174" s="429"/>
      <c r="G174" s="429"/>
      <c r="H174" s="430"/>
      <c r="I174" s="429"/>
      <c r="J174" s="429"/>
      <c r="K174" s="429"/>
      <c r="L174" s="383"/>
      <c r="M174" s="383" t="s">
        <v>605</v>
      </c>
      <c r="N174" s="383" t="s">
        <v>340</v>
      </c>
      <c r="O174" s="383" t="s">
        <v>606</v>
      </c>
      <c r="P174" s="383" t="s">
        <v>970</v>
      </c>
      <c r="Q174" s="383"/>
      <c r="R174" s="431">
        <v>237000</v>
      </c>
      <c r="S174" s="158">
        <v>0</v>
      </c>
      <c r="T174" s="158">
        <v>0</v>
      </c>
      <c r="U174" s="158">
        <v>0</v>
      </c>
      <c r="V174" s="158">
        <v>0</v>
      </c>
      <c r="W174" s="158">
        <v>0</v>
      </c>
      <c r="X174" s="158">
        <v>0</v>
      </c>
      <c r="Y174" s="158">
        <v>0</v>
      </c>
      <c r="Z174" s="158">
        <v>0</v>
      </c>
      <c r="AA174" s="432">
        <v>0</v>
      </c>
      <c r="AB174" s="432">
        <v>0</v>
      </c>
      <c r="AC174" s="432">
        <v>0</v>
      </c>
      <c r="AD174" s="432">
        <v>0</v>
      </c>
      <c r="AE174" s="432">
        <v>0</v>
      </c>
      <c r="AF174" s="432">
        <v>0</v>
      </c>
      <c r="AG174" s="432">
        <v>0</v>
      </c>
      <c r="AH174" s="432">
        <v>0</v>
      </c>
      <c r="AI174" s="158">
        <v>237866</v>
      </c>
      <c r="AJ174" s="158">
        <v>0</v>
      </c>
      <c r="AK174" s="158">
        <v>237866</v>
      </c>
      <c r="AL174" s="158">
        <v>237866</v>
      </c>
      <c r="AM174" s="158">
        <v>4060800</v>
      </c>
      <c r="AN174" s="158">
        <v>237866</v>
      </c>
      <c r="AO174" s="158">
        <v>237866</v>
      </c>
      <c r="AP174" s="158">
        <v>237000</v>
      </c>
      <c r="AQ174" s="432">
        <v>0</v>
      </c>
      <c r="AR174" s="432">
        <v>0</v>
      </c>
      <c r="AS174" s="432">
        <v>0</v>
      </c>
      <c r="AT174" s="432">
        <v>0</v>
      </c>
      <c r="AU174" s="432">
        <v>0</v>
      </c>
      <c r="AV174" s="432">
        <v>0</v>
      </c>
      <c r="AW174" s="432">
        <v>0</v>
      </c>
      <c r="AX174" s="432">
        <v>0</v>
      </c>
      <c r="AY174" s="158">
        <v>0</v>
      </c>
      <c r="AZ174" s="158">
        <v>0</v>
      </c>
      <c r="BA174" s="158">
        <v>0</v>
      </c>
      <c r="BB174" s="158">
        <v>0</v>
      </c>
      <c r="BC174" s="158">
        <v>0</v>
      </c>
      <c r="BD174" s="158">
        <v>0</v>
      </c>
      <c r="BE174" s="158">
        <v>0</v>
      </c>
      <c r="BF174" s="160">
        <v>0</v>
      </c>
      <c r="BG174" s="383">
        <v>2023</v>
      </c>
      <c r="BH174" s="383">
        <v>1</v>
      </c>
      <c r="BI174" s="383">
        <v>19</v>
      </c>
      <c r="BK174" s="147" t="str">
        <f>IF(R174=SUM(Z174,AH174,AP174,AX174,BF174),"○","×")</f>
        <v>○</v>
      </c>
    </row>
    <row r="175" spans="1:63" x14ac:dyDescent="0.2">
      <c r="A175" s="428">
        <v>1364</v>
      </c>
      <c r="B175" s="429"/>
      <c r="C175" s="430"/>
      <c r="D175" s="429"/>
      <c r="E175" s="430"/>
      <c r="F175" s="429"/>
      <c r="G175" s="429"/>
      <c r="H175" s="430"/>
      <c r="I175" s="429"/>
      <c r="J175" s="429"/>
      <c r="K175" s="429"/>
      <c r="L175" s="383"/>
      <c r="M175" s="383" t="s">
        <v>607</v>
      </c>
      <c r="N175" s="383" t="s">
        <v>372</v>
      </c>
      <c r="O175" s="383" t="s">
        <v>559</v>
      </c>
      <c r="P175" s="383" t="s">
        <v>970</v>
      </c>
      <c r="Q175" s="383"/>
      <c r="R175" s="431">
        <v>137000</v>
      </c>
      <c r="S175" s="158">
        <v>0</v>
      </c>
      <c r="T175" s="158">
        <v>0</v>
      </c>
      <c r="U175" s="158">
        <v>0</v>
      </c>
      <c r="V175" s="158">
        <v>0</v>
      </c>
      <c r="W175" s="158">
        <v>0</v>
      </c>
      <c r="X175" s="158">
        <v>0</v>
      </c>
      <c r="Y175" s="158">
        <v>0</v>
      </c>
      <c r="Z175" s="158">
        <v>0</v>
      </c>
      <c r="AA175" s="432">
        <v>0</v>
      </c>
      <c r="AB175" s="432">
        <v>0</v>
      </c>
      <c r="AC175" s="432">
        <v>0</v>
      </c>
      <c r="AD175" s="432">
        <v>0</v>
      </c>
      <c r="AE175" s="432">
        <v>0</v>
      </c>
      <c r="AF175" s="432">
        <v>0</v>
      </c>
      <c r="AG175" s="432">
        <v>0</v>
      </c>
      <c r="AH175" s="432">
        <v>0</v>
      </c>
      <c r="AI175" s="158">
        <v>137249</v>
      </c>
      <c r="AJ175" s="158">
        <v>0</v>
      </c>
      <c r="AK175" s="158">
        <v>137249</v>
      </c>
      <c r="AL175" s="158">
        <v>137249</v>
      </c>
      <c r="AM175" s="158">
        <v>1306800</v>
      </c>
      <c r="AN175" s="158">
        <v>137249</v>
      </c>
      <c r="AO175" s="158">
        <v>137249</v>
      </c>
      <c r="AP175" s="158">
        <v>137000</v>
      </c>
      <c r="AQ175" s="432">
        <v>0</v>
      </c>
      <c r="AR175" s="432">
        <v>0</v>
      </c>
      <c r="AS175" s="432">
        <v>0</v>
      </c>
      <c r="AT175" s="432">
        <v>0</v>
      </c>
      <c r="AU175" s="432">
        <v>0</v>
      </c>
      <c r="AV175" s="432">
        <v>0</v>
      </c>
      <c r="AW175" s="432">
        <v>0</v>
      </c>
      <c r="AX175" s="432">
        <v>0</v>
      </c>
      <c r="AY175" s="158">
        <v>0</v>
      </c>
      <c r="AZ175" s="158">
        <v>0</v>
      </c>
      <c r="BA175" s="158">
        <v>0</v>
      </c>
      <c r="BB175" s="158">
        <v>0</v>
      </c>
      <c r="BC175" s="158">
        <v>0</v>
      </c>
      <c r="BD175" s="158">
        <v>0</v>
      </c>
      <c r="BE175" s="158">
        <v>0</v>
      </c>
      <c r="BF175" s="160">
        <v>0</v>
      </c>
      <c r="BG175" s="383">
        <v>2023</v>
      </c>
      <c r="BH175" s="383">
        <v>1</v>
      </c>
      <c r="BI175" s="383">
        <v>19</v>
      </c>
      <c r="BK175" s="147" t="str">
        <f>IF(R175=SUM(Z175,AH175,AP175,AX175,BF175),"○","×")</f>
        <v>○</v>
      </c>
    </row>
    <row r="176" spans="1:63" x14ac:dyDescent="0.2">
      <c r="A176" s="428">
        <v>1365</v>
      </c>
      <c r="B176" s="429"/>
      <c r="C176" s="430"/>
      <c r="D176" s="429"/>
      <c r="E176" s="430"/>
      <c r="F176" s="429"/>
      <c r="G176" s="429"/>
      <c r="H176" s="430"/>
      <c r="I176" s="429"/>
      <c r="J176" s="429"/>
      <c r="K176" s="429"/>
      <c r="L176" s="383"/>
      <c r="M176" s="383" t="s">
        <v>608</v>
      </c>
      <c r="N176" s="383" t="s">
        <v>360</v>
      </c>
      <c r="O176" s="383" t="s">
        <v>609</v>
      </c>
      <c r="P176" s="383" t="s">
        <v>970</v>
      </c>
      <c r="Q176" s="383"/>
      <c r="R176" s="431">
        <v>1131000</v>
      </c>
      <c r="S176" s="158">
        <v>0</v>
      </c>
      <c r="T176" s="158">
        <v>0</v>
      </c>
      <c r="U176" s="158">
        <v>0</v>
      </c>
      <c r="V176" s="158">
        <v>0</v>
      </c>
      <c r="W176" s="158">
        <v>0</v>
      </c>
      <c r="X176" s="158">
        <v>0</v>
      </c>
      <c r="Y176" s="158">
        <v>0</v>
      </c>
      <c r="Z176" s="158">
        <v>0</v>
      </c>
      <c r="AA176" s="432">
        <v>0</v>
      </c>
      <c r="AB176" s="432">
        <v>0</v>
      </c>
      <c r="AC176" s="432">
        <v>0</v>
      </c>
      <c r="AD176" s="432">
        <v>0</v>
      </c>
      <c r="AE176" s="432">
        <v>0</v>
      </c>
      <c r="AF176" s="432">
        <v>0</v>
      </c>
      <c r="AG176" s="432">
        <v>0</v>
      </c>
      <c r="AH176" s="432">
        <v>0</v>
      </c>
      <c r="AI176" s="158">
        <v>1131260</v>
      </c>
      <c r="AJ176" s="158">
        <v>0</v>
      </c>
      <c r="AK176" s="158">
        <v>1131260</v>
      </c>
      <c r="AL176" s="158">
        <v>1131260</v>
      </c>
      <c r="AM176" s="158">
        <v>2102400</v>
      </c>
      <c r="AN176" s="158">
        <v>1131260</v>
      </c>
      <c r="AO176" s="158">
        <v>1131260</v>
      </c>
      <c r="AP176" s="158">
        <v>1131000</v>
      </c>
      <c r="AQ176" s="432">
        <v>0</v>
      </c>
      <c r="AR176" s="432">
        <v>0</v>
      </c>
      <c r="AS176" s="432">
        <v>0</v>
      </c>
      <c r="AT176" s="432">
        <v>0</v>
      </c>
      <c r="AU176" s="432">
        <v>0</v>
      </c>
      <c r="AV176" s="432">
        <v>0</v>
      </c>
      <c r="AW176" s="432">
        <v>0</v>
      </c>
      <c r="AX176" s="432">
        <v>0</v>
      </c>
      <c r="AY176" s="158">
        <v>0</v>
      </c>
      <c r="AZ176" s="158">
        <v>0</v>
      </c>
      <c r="BA176" s="158">
        <v>0</v>
      </c>
      <c r="BB176" s="158">
        <v>0</v>
      </c>
      <c r="BC176" s="158">
        <v>0</v>
      </c>
      <c r="BD176" s="158">
        <v>0</v>
      </c>
      <c r="BE176" s="158">
        <v>0</v>
      </c>
      <c r="BF176" s="160">
        <v>0</v>
      </c>
      <c r="BG176" s="383">
        <v>2023</v>
      </c>
      <c r="BH176" s="383">
        <v>1</v>
      </c>
      <c r="BI176" s="383">
        <v>19</v>
      </c>
      <c r="BK176" s="147" t="str">
        <f>IF(R176=SUM(Z176,AH176,AP176,AX176,BF176),"○","×")</f>
        <v>○</v>
      </c>
    </row>
    <row r="177" spans="1:63" x14ac:dyDescent="0.2">
      <c r="A177" s="428">
        <v>1366</v>
      </c>
      <c r="B177" s="429"/>
      <c r="C177" s="430"/>
      <c r="D177" s="429"/>
      <c r="E177" s="430"/>
      <c r="F177" s="429"/>
      <c r="G177" s="429"/>
      <c r="H177" s="430"/>
      <c r="I177" s="429"/>
      <c r="J177" s="429"/>
      <c r="K177" s="429"/>
      <c r="L177" s="383"/>
      <c r="M177" s="383" t="s">
        <v>566</v>
      </c>
      <c r="N177" s="383" t="s">
        <v>567</v>
      </c>
      <c r="O177" s="383" t="s">
        <v>568</v>
      </c>
      <c r="P177" s="383" t="s">
        <v>970</v>
      </c>
      <c r="Q177" s="383"/>
      <c r="R177" s="431">
        <v>81000</v>
      </c>
      <c r="S177" s="158">
        <v>0</v>
      </c>
      <c r="T177" s="158">
        <v>0</v>
      </c>
      <c r="U177" s="158">
        <v>0</v>
      </c>
      <c r="V177" s="158">
        <v>0</v>
      </c>
      <c r="W177" s="158">
        <v>0</v>
      </c>
      <c r="X177" s="158">
        <v>0</v>
      </c>
      <c r="Y177" s="158">
        <v>0</v>
      </c>
      <c r="Z177" s="158">
        <v>0</v>
      </c>
      <c r="AA177" s="432">
        <v>0</v>
      </c>
      <c r="AB177" s="432">
        <v>0</v>
      </c>
      <c r="AC177" s="432">
        <v>0</v>
      </c>
      <c r="AD177" s="432">
        <v>0</v>
      </c>
      <c r="AE177" s="432">
        <v>0</v>
      </c>
      <c r="AF177" s="432">
        <v>0</v>
      </c>
      <c r="AG177" s="432">
        <v>0</v>
      </c>
      <c r="AH177" s="432">
        <v>0</v>
      </c>
      <c r="AI177" s="158">
        <v>81558</v>
      </c>
      <c r="AJ177" s="158">
        <v>0</v>
      </c>
      <c r="AK177" s="158">
        <v>81558</v>
      </c>
      <c r="AL177" s="158">
        <v>81558</v>
      </c>
      <c r="AM177" s="158">
        <v>1123200</v>
      </c>
      <c r="AN177" s="158">
        <v>81558</v>
      </c>
      <c r="AO177" s="158">
        <v>81558</v>
      </c>
      <c r="AP177" s="158">
        <v>81000</v>
      </c>
      <c r="AQ177" s="432">
        <v>0</v>
      </c>
      <c r="AR177" s="432">
        <v>0</v>
      </c>
      <c r="AS177" s="432">
        <v>0</v>
      </c>
      <c r="AT177" s="432">
        <v>0</v>
      </c>
      <c r="AU177" s="432">
        <v>0</v>
      </c>
      <c r="AV177" s="432">
        <v>0</v>
      </c>
      <c r="AW177" s="432">
        <v>0</v>
      </c>
      <c r="AX177" s="432">
        <v>0</v>
      </c>
      <c r="AY177" s="158">
        <v>0</v>
      </c>
      <c r="AZ177" s="158">
        <v>0</v>
      </c>
      <c r="BA177" s="158">
        <v>0</v>
      </c>
      <c r="BB177" s="158">
        <v>0</v>
      </c>
      <c r="BC177" s="158">
        <v>0</v>
      </c>
      <c r="BD177" s="158">
        <v>0</v>
      </c>
      <c r="BE177" s="158">
        <v>0</v>
      </c>
      <c r="BF177" s="160">
        <v>0</v>
      </c>
      <c r="BG177" s="383">
        <v>2023</v>
      </c>
      <c r="BH177" s="383">
        <v>1</v>
      </c>
      <c r="BI177" s="383">
        <v>19</v>
      </c>
      <c r="BK177" s="147" t="str">
        <f>IF(R177=SUM(Z177,AH177,AP177,AX177,BF177),"○","×")</f>
        <v>○</v>
      </c>
    </row>
    <row r="178" spans="1:63" x14ac:dyDescent="0.2">
      <c r="A178" s="428">
        <v>1367</v>
      </c>
      <c r="B178" s="429"/>
      <c r="C178" s="430"/>
      <c r="D178" s="429"/>
      <c r="E178" s="430"/>
      <c r="F178" s="429"/>
      <c r="G178" s="429"/>
      <c r="H178" s="430"/>
      <c r="I178" s="429"/>
      <c r="J178" s="429"/>
      <c r="K178" s="429"/>
      <c r="L178" s="383"/>
      <c r="M178" s="383" t="s">
        <v>610</v>
      </c>
      <c r="N178" s="383" t="s">
        <v>408</v>
      </c>
      <c r="O178" s="383" t="s">
        <v>611</v>
      </c>
      <c r="P178" s="383" t="s">
        <v>970</v>
      </c>
      <c r="Q178" s="146"/>
      <c r="R178" s="431">
        <v>308000</v>
      </c>
      <c r="S178" s="158">
        <v>0</v>
      </c>
      <c r="T178" s="158">
        <v>0</v>
      </c>
      <c r="U178" s="158">
        <v>0</v>
      </c>
      <c r="V178" s="158">
        <v>0</v>
      </c>
      <c r="W178" s="158">
        <v>0</v>
      </c>
      <c r="X178" s="158">
        <v>0</v>
      </c>
      <c r="Y178" s="158">
        <v>0</v>
      </c>
      <c r="Z178" s="158">
        <v>0</v>
      </c>
      <c r="AA178" s="432">
        <v>0</v>
      </c>
      <c r="AB178" s="432">
        <v>0</v>
      </c>
      <c r="AC178" s="432">
        <v>0</v>
      </c>
      <c r="AD178" s="432">
        <v>0</v>
      </c>
      <c r="AE178" s="432">
        <v>0</v>
      </c>
      <c r="AF178" s="432">
        <v>0</v>
      </c>
      <c r="AG178" s="432">
        <v>0</v>
      </c>
      <c r="AH178" s="432">
        <v>0</v>
      </c>
      <c r="AI178" s="158">
        <v>308220</v>
      </c>
      <c r="AJ178" s="158">
        <v>0</v>
      </c>
      <c r="AK178" s="158">
        <v>308220</v>
      </c>
      <c r="AL178" s="158">
        <v>308220</v>
      </c>
      <c r="AM178" s="158">
        <v>12542400</v>
      </c>
      <c r="AN178" s="158">
        <v>308220</v>
      </c>
      <c r="AO178" s="158">
        <v>308220</v>
      </c>
      <c r="AP178" s="158">
        <v>308000</v>
      </c>
      <c r="AQ178" s="432">
        <v>0</v>
      </c>
      <c r="AR178" s="432">
        <v>0</v>
      </c>
      <c r="AS178" s="432">
        <v>0</v>
      </c>
      <c r="AT178" s="432">
        <v>0</v>
      </c>
      <c r="AU178" s="432">
        <v>0</v>
      </c>
      <c r="AV178" s="432">
        <v>0</v>
      </c>
      <c r="AW178" s="432">
        <v>0</v>
      </c>
      <c r="AX178" s="432">
        <v>0</v>
      </c>
      <c r="AY178" s="158">
        <v>0</v>
      </c>
      <c r="AZ178" s="158">
        <v>0</v>
      </c>
      <c r="BA178" s="158">
        <v>0</v>
      </c>
      <c r="BB178" s="158">
        <v>0</v>
      </c>
      <c r="BC178" s="158">
        <v>0</v>
      </c>
      <c r="BD178" s="158">
        <v>0</v>
      </c>
      <c r="BE178" s="158">
        <v>0</v>
      </c>
      <c r="BF178" s="160">
        <v>0</v>
      </c>
      <c r="BG178" s="383">
        <v>2023</v>
      </c>
      <c r="BH178" s="383">
        <v>1</v>
      </c>
      <c r="BI178" s="383">
        <v>19</v>
      </c>
      <c r="BK178" s="147" t="str">
        <f>IF(R178=SUM(Z178,AH178,AP178,AX178,BF178),"○","×")</f>
        <v>○</v>
      </c>
    </row>
    <row r="179" spans="1:63" x14ac:dyDescent="0.2">
      <c r="A179" s="428">
        <v>1368</v>
      </c>
      <c r="B179" s="429"/>
      <c r="C179" s="430"/>
      <c r="D179" s="429"/>
      <c r="E179" s="430"/>
      <c r="F179" s="429"/>
      <c r="G179" s="429"/>
      <c r="H179" s="430"/>
      <c r="I179" s="429"/>
      <c r="J179" s="429"/>
      <c r="K179" s="429"/>
      <c r="L179" s="383"/>
      <c r="M179" s="383" t="s">
        <v>598</v>
      </c>
      <c r="N179" s="383" t="s">
        <v>377</v>
      </c>
      <c r="O179" s="383" t="s">
        <v>599</v>
      </c>
      <c r="P179" s="383" t="s">
        <v>970</v>
      </c>
      <c r="Q179" s="383"/>
      <c r="R179" s="431">
        <v>963000</v>
      </c>
      <c r="S179" s="158">
        <v>0</v>
      </c>
      <c r="T179" s="158">
        <v>0</v>
      </c>
      <c r="U179" s="158">
        <v>0</v>
      </c>
      <c r="V179" s="158">
        <v>0</v>
      </c>
      <c r="W179" s="158">
        <v>0</v>
      </c>
      <c r="X179" s="158">
        <v>0</v>
      </c>
      <c r="Y179" s="158">
        <v>0</v>
      </c>
      <c r="Z179" s="158">
        <v>0</v>
      </c>
      <c r="AA179" s="432">
        <v>0</v>
      </c>
      <c r="AB179" s="432">
        <v>0</v>
      </c>
      <c r="AC179" s="432">
        <v>0</v>
      </c>
      <c r="AD179" s="432">
        <v>0</v>
      </c>
      <c r="AE179" s="432">
        <v>0</v>
      </c>
      <c r="AF179" s="432">
        <v>0</v>
      </c>
      <c r="AG179" s="432">
        <v>0</v>
      </c>
      <c r="AH179" s="432">
        <v>0</v>
      </c>
      <c r="AI179" s="158">
        <v>963525</v>
      </c>
      <c r="AJ179" s="158">
        <v>0</v>
      </c>
      <c r="AK179" s="158">
        <v>963525</v>
      </c>
      <c r="AL179" s="158">
        <v>963525</v>
      </c>
      <c r="AM179" s="158">
        <v>2462400</v>
      </c>
      <c r="AN179" s="158">
        <v>963525</v>
      </c>
      <c r="AO179" s="158">
        <v>963525</v>
      </c>
      <c r="AP179" s="158">
        <v>963000</v>
      </c>
      <c r="AQ179" s="432">
        <v>0</v>
      </c>
      <c r="AR179" s="432">
        <v>0</v>
      </c>
      <c r="AS179" s="432">
        <v>0</v>
      </c>
      <c r="AT179" s="432">
        <v>0</v>
      </c>
      <c r="AU179" s="432">
        <v>0</v>
      </c>
      <c r="AV179" s="432">
        <v>0</v>
      </c>
      <c r="AW179" s="432">
        <v>0</v>
      </c>
      <c r="AX179" s="432">
        <v>0</v>
      </c>
      <c r="AY179" s="158">
        <v>0</v>
      </c>
      <c r="AZ179" s="158">
        <v>0</v>
      </c>
      <c r="BA179" s="158">
        <v>0</v>
      </c>
      <c r="BB179" s="158">
        <v>0</v>
      </c>
      <c r="BC179" s="158">
        <v>0</v>
      </c>
      <c r="BD179" s="158">
        <v>0</v>
      </c>
      <c r="BE179" s="158">
        <v>0</v>
      </c>
      <c r="BF179" s="160">
        <v>0</v>
      </c>
      <c r="BG179" s="383">
        <v>2023</v>
      </c>
      <c r="BH179" s="383">
        <v>1</v>
      </c>
      <c r="BI179" s="383">
        <v>19</v>
      </c>
      <c r="BK179" s="147" t="str">
        <f>IF(R179=SUM(Z179,AH179,AP179,AX179,BF179),"○","×")</f>
        <v>○</v>
      </c>
    </row>
    <row r="180" spans="1:63" x14ac:dyDescent="0.2">
      <c r="A180" s="428">
        <v>1369</v>
      </c>
      <c r="B180" s="429"/>
      <c r="C180" s="430"/>
      <c r="D180" s="429"/>
      <c r="E180" s="430"/>
      <c r="F180" s="429"/>
      <c r="G180" s="429"/>
      <c r="H180" s="430"/>
      <c r="I180" s="429"/>
      <c r="J180" s="429"/>
      <c r="K180" s="429"/>
      <c r="L180" s="383"/>
      <c r="M180" s="383" t="s">
        <v>612</v>
      </c>
      <c r="N180" s="383" t="s">
        <v>470</v>
      </c>
      <c r="O180" s="383" t="s">
        <v>613</v>
      </c>
      <c r="P180" s="383" t="s">
        <v>970</v>
      </c>
      <c r="Q180" s="383"/>
      <c r="R180" s="431">
        <v>62000</v>
      </c>
      <c r="S180" s="158">
        <v>0</v>
      </c>
      <c r="T180" s="158">
        <v>0</v>
      </c>
      <c r="U180" s="158">
        <v>0</v>
      </c>
      <c r="V180" s="158">
        <v>0</v>
      </c>
      <c r="W180" s="158">
        <v>0</v>
      </c>
      <c r="X180" s="158">
        <v>0</v>
      </c>
      <c r="Y180" s="158">
        <v>0</v>
      </c>
      <c r="Z180" s="158">
        <v>0</v>
      </c>
      <c r="AA180" s="432">
        <v>0</v>
      </c>
      <c r="AB180" s="432">
        <v>0</v>
      </c>
      <c r="AC180" s="432">
        <v>0</v>
      </c>
      <c r="AD180" s="432">
        <v>0</v>
      </c>
      <c r="AE180" s="432">
        <v>0</v>
      </c>
      <c r="AF180" s="432">
        <v>0</v>
      </c>
      <c r="AG180" s="432">
        <v>0</v>
      </c>
      <c r="AH180" s="432">
        <v>0</v>
      </c>
      <c r="AI180" s="158">
        <v>62700</v>
      </c>
      <c r="AJ180" s="158">
        <v>0</v>
      </c>
      <c r="AK180" s="158">
        <v>62700</v>
      </c>
      <c r="AL180" s="158">
        <v>62700</v>
      </c>
      <c r="AM180" s="158">
        <v>1029600</v>
      </c>
      <c r="AN180" s="158">
        <v>62700</v>
      </c>
      <c r="AO180" s="158">
        <v>62700</v>
      </c>
      <c r="AP180" s="158">
        <v>62000</v>
      </c>
      <c r="AQ180" s="432">
        <v>0</v>
      </c>
      <c r="AR180" s="432">
        <v>0</v>
      </c>
      <c r="AS180" s="432">
        <v>0</v>
      </c>
      <c r="AT180" s="432">
        <v>0</v>
      </c>
      <c r="AU180" s="432">
        <v>0</v>
      </c>
      <c r="AV180" s="432">
        <v>0</v>
      </c>
      <c r="AW180" s="432">
        <v>0</v>
      </c>
      <c r="AX180" s="432">
        <v>0</v>
      </c>
      <c r="AY180" s="158">
        <v>0</v>
      </c>
      <c r="AZ180" s="158">
        <v>0</v>
      </c>
      <c r="BA180" s="158">
        <v>0</v>
      </c>
      <c r="BB180" s="158">
        <v>0</v>
      </c>
      <c r="BC180" s="158">
        <v>0</v>
      </c>
      <c r="BD180" s="158">
        <v>0</v>
      </c>
      <c r="BE180" s="158">
        <v>0</v>
      </c>
      <c r="BF180" s="160">
        <v>0</v>
      </c>
      <c r="BG180" s="383">
        <v>2023</v>
      </c>
      <c r="BH180" s="383">
        <v>1</v>
      </c>
      <c r="BI180" s="383">
        <v>19</v>
      </c>
      <c r="BK180" s="147" t="str">
        <f>IF(R180=SUM(Z180,AH180,AP180,AX180,BF180),"○","×")</f>
        <v>○</v>
      </c>
    </row>
    <row r="181" spans="1:63" x14ac:dyDescent="0.2">
      <c r="A181" s="428">
        <v>1370</v>
      </c>
      <c r="B181" s="429"/>
      <c r="C181" s="430"/>
      <c r="D181" s="429"/>
      <c r="E181" s="430"/>
      <c r="F181" s="429"/>
      <c r="G181" s="429"/>
      <c r="H181" s="430"/>
      <c r="I181" s="429"/>
      <c r="J181" s="429"/>
      <c r="K181" s="429"/>
      <c r="L181" s="383"/>
      <c r="M181" s="383" t="s">
        <v>614</v>
      </c>
      <c r="N181" s="383" t="s">
        <v>323</v>
      </c>
      <c r="O181" s="383" t="s">
        <v>615</v>
      </c>
      <c r="P181" s="383" t="s">
        <v>970</v>
      </c>
      <c r="Q181" s="383"/>
      <c r="R181" s="431">
        <v>84000</v>
      </c>
      <c r="S181" s="158">
        <v>0</v>
      </c>
      <c r="T181" s="158">
        <v>0</v>
      </c>
      <c r="U181" s="158">
        <v>0</v>
      </c>
      <c r="V181" s="158">
        <v>0</v>
      </c>
      <c r="W181" s="158">
        <v>0</v>
      </c>
      <c r="X181" s="158">
        <v>0</v>
      </c>
      <c r="Y181" s="158">
        <v>0</v>
      </c>
      <c r="Z181" s="158">
        <v>0</v>
      </c>
      <c r="AA181" s="432">
        <v>0</v>
      </c>
      <c r="AB181" s="432">
        <v>0</v>
      </c>
      <c r="AC181" s="432">
        <v>0</v>
      </c>
      <c r="AD181" s="432">
        <v>0</v>
      </c>
      <c r="AE181" s="432">
        <v>0</v>
      </c>
      <c r="AF181" s="432">
        <v>0</v>
      </c>
      <c r="AG181" s="432">
        <v>0</v>
      </c>
      <c r="AH181" s="432">
        <v>0</v>
      </c>
      <c r="AI181" s="158">
        <v>84029</v>
      </c>
      <c r="AJ181" s="158">
        <v>0</v>
      </c>
      <c r="AK181" s="158">
        <v>84029</v>
      </c>
      <c r="AL181" s="158">
        <v>84029</v>
      </c>
      <c r="AM181" s="158">
        <v>1587600</v>
      </c>
      <c r="AN181" s="158">
        <v>84029</v>
      </c>
      <c r="AO181" s="158">
        <v>84029</v>
      </c>
      <c r="AP181" s="158">
        <v>84000</v>
      </c>
      <c r="AQ181" s="432">
        <v>0</v>
      </c>
      <c r="AR181" s="432">
        <v>0</v>
      </c>
      <c r="AS181" s="432">
        <v>0</v>
      </c>
      <c r="AT181" s="432">
        <v>0</v>
      </c>
      <c r="AU181" s="432">
        <v>0</v>
      </c>
      <c r="AV181" s="432">
        <v>0</v>
      </c>
      <c r="AW181" s="432">
        <v>0</v>
      </c>
      <c r="AX181" s="432">
        <v>0</v>
      </c>
      <c r="AY181" s="158">
        <v>0</v>
      </c>
      <c r="AZ181" s="158">
        <v>0</v>
      </c>
      <c r="BA181" s="158">
        <v>0</v>
      </c>
      <c r="BB181" s="158">
        <v>0</v>
      </c>
      <c r="BC181" s="158">
        <v>0</v>
      </c>
      <c r="BD181" s="158">
        <v>0</v>
      </c>
      <c r="BE181" s="158">
        <v>0</v>
      </c>
      <c r="BF181" s="160">
        <v>0</v>
      </c>
      <c r="BG181" s="383">
        <v>2023</v>
      </c>
      <c r="BH181" s="383">
        <v>1</v>
      </c>
      <c r="BI181" s="383">
        <v>19</v>
      </c>
      <c r="BK181" s="147" t="str">
        <f>IF(R181=SUM(Z181,AH181,AP181,AX181,BF181),"○","×")</f>
        <v>○</v>
      </c>
    </row>
    <row r="182" spans="1:63" x14ac:dyDescent="0.2">
      <c r="A182" s="428">
        <v>1371</v>
      </c>
      <c r="B182" s="429"/>
      <c r="C182" s="430"/>
      <c r="D182" s="429"/>
      <c r="E182" s="430"/>
      <c r="F182" s="429"/>
      <c r="G182" s="429"/>
      <c r="H182" s="430"/>
      <c r="I182" s="429"/>
      <c r="J182" s="429"/>
      <c r="K182" s="429"/>
      <c r="L182" s="383"/>
      <c r="M182" s="383" t="s">
        <v>616</v>
      </c>
      <c r="N182" s="383" t="s">
        <v>323</v>
      </c>
      <c r="O182" s="383" t="s">
        <v>617</v>
      </c>
      <c r="P182" s="383" t="s">
        <v>970</v>
      </c>
      <c r="Q182" s="383"/>
      <c r="R182" s="431">
        <v>67000</v>
      </c>
      <c r="S182" s="158">
        <v>0</v>
      </c>
      <c r="T182" s="158">
        <v>0</v>
      </c>
      <c r="U182" s="158">
        <v>0</v>
      </c>
      <c r="V182" s="158">
        <v>0</v>
      </c>
      <c r="W182" s="158">
        <v>0</v>
      </c>
      <c r="X182" s="158">
        <v>0</v>
      </c>
      <c r="Y182" s="158">
        <v>0</v>
      </c>
      <c r="Z182" s="158">
        <v>0</v>
      </c>
      <c r="AA182" s="432">
        <v>0</v>
      </c>
      <c r="AB182" s="432">
        <v>0</v>
      </c>
      <c r="AC182" s="432">
        <v>0</v>
      </c>
      <c r="AD182" s="432">
        <v>0</v>
      </c>
      <c r="AE182" s="432">
        <v>0</v>
      </c>
      <c r="AF182" s="432">
        <v>0</v>
      </c>
      <c r="AG182" s="432">
        <v>0</v>
      </c>
      <c r="AH182" s="432">
        <v>0</v>
      </c>
      <c r="AI182" s="158">
        <v>67860</v>
      </c>
      <c r="AJ182" s="158">
        <v>0</v>
      </c>
      <c r="AK182" s="158">
        <v>67860</v>
      </c>
      <c r="AL182" s="158">
        <v>67860</v>
      </c>
      <c r="AM182" s="158">
        <v>2088000</v>
      </c>
      <c r="AN182" s="158">
        <v>67860</v>
      </c>
      <c r="AO182" s="158">
        <v>67860</v>
      </c>
      <c r="AP182" s="158">
        <v>67000</v>
      </c>
      <c r="AQ182" s="432">
        <v>0</v>
      </c>
      <c r="AR182" s="432">
        <v>0</v>
      </c>
      <c r="AS182" s="432">
        <v>0</v>
      </c>
      <c r="AT182" s="432">
        <v>0</v>
      </c>
      <c r="AU182" s="432">
        <v>0</v>
      </c>
      <c r="AV182" s="432">
        <v>0</v>
      </c>
      <c r="AW182" s="432">
        <v>0</v>
      </c>
      <c r="AX182" s="432">
        <v>0</v>
      </c>
      <c r="AY182" s="158">
        <v>0</v>
      </c>
      <c r="AZ182" s="158">
        <v>0</v>
      </c>
      <c r="BA182" s="158">
        <v>0</v>
      </c>
      <c r="BB182" s="158">
        <v>0</v>
      </c>
      <c r="BC182" s="158">
        <v>0</v>
      </c>
      <c r="BD182" s="158">
        <v>0</v>
      </c>
      <c r="BE182" s="158">
        <v>0</v>
      </c>
      <c r="BF182" s="160">
        <v>0</v>
      </c>
      <c r="BG182" s="383">
        <v>2023</v>
      </c>
      <c r="BH182" s="383">
        <v>1</v>
      </c>
      <c r="BI182" s="383">
        <v>19</v>
      </c>
      <c r="BK182" s="147" t="str">
        <f>IF(R182=SUM(Z182,AH182,AP182,AX182,BF182),"○","×")</f>
        <v>○</v>
      </c>
    </row>
    <row r="183" spans="1:63" x14ac:dyDescent="0.2">
      <c r="A183" s="428">
        <v>1372</v>
      </c>
      <c r="B183" s="429"/>
      <c r="C183" s="430"/>
      <c r="D183" s="429"/>
      <c r="E183" s="430"/>
      <c r="F183" s="429"/>
      <c r="G183" s="429"/>
      <c r="H183" s="430"/>
      <c r="I183" s="429"/>
      <c r="J183" s="429"/>
      <c r="K183" s="429"/>
      <c r="L183" s="383"/>
      <c r="M183" s="383" t="s">
        <v>566</v>
      </c>
      <c r="N183" s="383" t="s">
        <v>567</v>
      </c>
      <c r="O183" s="383" t="s">
        <v>568</v>
      </c>
      <c r="P183" s="383" t="s">
        <v>970</v>
      </c>
      <c r="Q183" s="383"/>
      <c r="R183" s="431">
        <v>87000</v>
      </c>
      <c r="S183" s="158">
        <v>0</v>
      </c>
      <c r="T183" s="158">
        <v>0</v>
      </c>
      <c r="U183" s="158">
        <v>0</v>
      </c>
      <c r="V183" s="158">
        <v>0</v>
      </c>
      <c r="W183" s="158">
        <v>0</v>
      </c>
      <c r="X183" s="158">
        <v>0</v>
      </c>
      <c r="Y183" s="158">
        <v>0</v>
      </c>
      <c r="Z183" s="158">
        <v>0</v>
      </c>
      <c r="AA183" s="432">
        <v>0</v>
      </c>
      <c r="AB183" s="432">
        <v>0</v>
      </c>
      <c r="AC183" s="432">
        <v>0</v>
      </c>
      <c r="AD183" s="432">
        <v>0</v>
      </c>
      <c r="AE183" s="432">
        <v>0</v>
      </c>
      <c r="AF183" s="432">
        <v>0</v>
      </c>
      <c r="AG183" s="432">
        <v>0</v>
      </c>
      <c r="AH183" s="432">
        <v>0</v>
      </c>
      <c r="AI183" s="158">
        <v>87918</v>
      </c>
      <c r="AJ183" s="158">
        <v>0</v>
      </c>
      <c r="AK183" s="158">
        <v>87918</v>
      </c>
      <c r="AL183" s="158">
        <v>87918</v>
      </c>
      <c r="AM183" s="158">
        <v>1123200</v>
      </c>
      <c r="AN183" s="158">
        <v>87918</v>
      </c>
      <c r="AO183" s="158">
        <v>87918</v>
      </c>
      <c r="AP183" s="158">
        <v>87000</v>
      </c>
      <c r="AQ183" s="432">
        <v>0</v>
      </c>
      <c r="AR183" s="432">
        <v>0</v>
      </c>
      <c r="AS183" s="432">
        <v>0</v>
      </c>
      <c r="AT183" s="432">
        <v>0</v>
      </c>
      <c r="AU183" s="432">
        <v>0</v>
      </c>
      <c r="AV183" s="432">
        <v>0</v>
      </c>
      <c r="AW183" s="432">
        <v>0</v>
      </c>
      <c r="AX183" s="432">
        <v>0</v>
      </c>
      <c r="AY183" s="158">
        <v>0</v>
      </c>
      <c r="AZ183" s="158">
        <v>0</v>
      </c>
      <c r="BA183" s="158">
        <v>0</v>
      </c>
      <c r="BB183" s="158">
        <v>0</v>
      </c>
      <c r="BC183" s="158">
        <v>0</v>
      </c>
      <c r="BD183" s="158">
        <v>0</v>
      </c>
      <c r="BE183" s="158">
        <v>0</v>
      </c>
      <c r="BF183" s="160">
        <v>0</v>
      </c>
      <c r="BG183" s="383">
        <v>2023</v>
      </c>
      <c r="BH183" s="383">
        <v>1</v>
      </c>
      <c r="BI183" s="383">
        <v>19</v>
      </c>
      <c r="BK183" s="147" t="str">
        <f>IF(R183=SUM(Z183,AH183,AP183,AX183,BF183),"○","×")</f>
        <v>○</v>
      </c>
    </row>
    <row r="184" spans="1:63" x14ac:dyDescent="0.2">
      <c r="A184" s="428">
        <v>1373</v>
      </c>
      <c r="B184" s="429"/>
      <c r="C184" s="430"/>
      <c r="D184" s="429"/>
      <c r="E184" s="430"/>
      <c r="F184" s="429"/>
      <c r="G184" s="429"/>
      <c r="H184" s="430"/>
      <c r="I184" s="429"/>
      <c r="J184" s="429"/>
      <c r="K184" s="429"/>
      <c r="L184" s="383"/>
      <c r="M184" s="383" t="s">
        <v>618</v>
      </c>
      <c r="N184" s="383" t="s">
        <v>329</v>
      </c>
      <c r="O184" s="383" t="s">
        <v>619</v>
      </c>
      <c r="P184" s="383" t="s">
        <v>970</v>
      </c>
      <c r="Q184" s="383"/>
      <c r="R184" s="431">
        <v>1372000</v>
      </c>
      <c r="S184" s="158">
        <v>0</v>
      </c>
      <c r="T184" s="158">
        <v>0</v>
      </c>
      <c r="U184" s="158">
        <v>0</v>
      </c>
      <c r="V184" s="158">
        <v>0</v>
      </c>
      <c r="W184" s="158">
        <v>0</v>
      </c>
      <c r="X184" s="158">
        <v>0</v>
      </c>
      <c r="Y184" s="158">
        <v>0</v>
      </c>
      <c r="Z184" s="158">
        <v>0</v>
      </c>
      <c r="AA184" s="432">
        <v>0</v>
      </c>
      <c r="AB184" s="432">
        <v>0</v>
      </c>
      <c r="AC184" s="432">
        <v>0</v>
      </c>
      <c r="AD184" s="432">
        <v>0</v>
      </c>
      <c r="AE184" s="432">
        <v>0</v>
      </c>
      <c r="AF184" s="432">
        <v>0</v>
      </c>
      <c r="AG184" s="432">
        <v>0</v>
      </c>
      <c r="AH184" s="432">
        <v>0</v>
      </c>
      <c r="AI184" s="158">
        <v>1372664</v>
      </c>
      <c r="AJ184" s="158">
        <v>0</v>
      </c>
      <c r="AK184" s="158">
        <v>1372664</v>
      </c>
      <c r="AL184" s="158">
        <v>1372664</v>
      </c>
      <c r="AM184" s="158">
        <v>5227200</v>
      </c>
      <c r="AN184" s="158">
        <v>1372664</v>
      </c>
      <c r="AO184" s="158">
        <v>1372664</v>
      </c>
      <c r="AP184" s="158">
        <v>1372000</v>
      </c>
      <c r="AQ184" s="432">
        <v>0</v>
      </c>
      <c r="AR184" s="432">
        <v>0</v>
      </c>
      <c r="AS184" s="432">
        <v>0</v>
      </c>
      <c r="AT184" s="432">
        <v>0</v>
      </c>
      <c r="AU184" s="432">
        <v>0</v>
      </c>
      <c r="AV184" s="432">
        <v>0</v>
      </c>
      <c r="AW184" s="432">
        <v>0</v>
      </c>
      <c r="AX184" s="432">
        <v>0</v>
      </c>
      <c r="AY184" s="158">
        <v>0</v>
      </c>
      <c r="AZ184" s="158">
        <v>0</v>
      </c>
      <c r="BA184" s="158">
        <v>0</v>
      </c>
      <c r="BB184" s="158">
        <v>0</v>
      </c>
      <c r="BC184" s="158">
        <v>0</v>
      </c>
      <c r="BD184" s="158">
        <v>0</v>
      </c>
      <c r="BE184" s="158">
        <v>0</v>
      </c>
      <c r="BF184" s="160">
        <v>0</v>
      </c>
      <c r="BG184" s="383">
        <v>2023</v>
      </c>
      <c r="BH184" s="383">
        <v>1</v>
      </c>
      <c r="BI184" s="383">
        <v>19</v>
      </c>
      <c r="BK184" s="147" t="str">
        <f>IF(R184=SUM(Z184,AH184,AP184,AX184,BF184),"○","×")</f>
        <v>○</v>
      </c>
    </row>
    <row r="185" spans="1:63" s="152" customFormat="1" x14ac:dyDescent="0.2">
      <c r="A185" s="428">
        <v>1374</v>
      </c>
      <c r="B185" s="429"/>
      <c r="C185" s="430"/>
      <c r="D185" s="429"/>
      <c r="E185" s="430"/>
      <c r="F185" s="429"/>
      <c r="G185" s="429"/>
      <c r="H185" s="430"/>
      <c r="I185" s="429"/>
      <c r="J185" s="429"/>
      <c r="K185" s="429"/>
      <c r="L185" s="383"/>
      <c r="M185" s="383" t="s">
        <v>620</v>
      </c>
      <c r="N185" s="383" t="s">
        <v>408</v>
      </c>
      <c r="O185" s="383" t="s">
        <v>621</v>
      </c>
      <c r="P185" s="383" t="s">
        <v>970</v>
      </c>
      <c r="Q185" s="383"/>
      <c r="R185" s="431">
        <v>196000</v>
      </c>
      <c r="S185" s="158">
        <v>0</v>
      </c>
      <c r="T185" s="158">
        <v>0</v>
      </c>
      <c r="U185" s="158">
        <v>0</v>
      </c>
      <c r="V185" s="158">
        <v>0</v>
      </c>
      <c r="W185" s="158">
        <v>0</v>
      </c>
      <c r="X185" s="158">
        <v>0</v>
      </c>
      <c r="Y185" s="158">
        <v>0</v>
      </c>
      <c r="Z185" s="158">
        <v>0</v>
      </c>
      <c r="AA185" s="432">
        <v>0</v>
      </c>
      <c r="AB185" s="432">
        <v>0</v>
      </c>
      <c r="AC185" s="432">
        <v>0</v>
      </c>
      <c r="AD185" s="432">
        <v>0</v>
      </c>
      <c r="AE185" s="432">
        <v>0</v>
      </c>
      <c r="AF185" s="432">
        <v>0</v>
      </c>
      <c r="AG185" s="432">
        <v>0</v>
      </c>
      <c r="AH185" s="432">
        <v>0</v>
      </c>
      <c r="AI185" s="158">
        <v>196971</v>
      </c>
      <c r="AJ185" s="158">
        <v>0</v>
      </c>
      <c r="AK185" s="158">
        <v>196971</v>
      </c>
      <c r="AL185" s="158">
        <v>196971</v>
      </c>
      <c r="AM185" s="158">
        <v>10296000</v>
      </c>
      <c r="AN185" s="158">
        <v>196971</v>
      </c>
      <c r="AO185" s="158">
        <v>196971</v>
      </c>
      <c r="AP185" s="158">
        <v>196000</v>
      </c>
      <c r="AQ185" s="432">
        <v>0</v>
      </c>
      <c r="AR185" s="432">
        <v>0</v>
      </c>
      <c r="AS185" s="432">
        <v>0</v>
      </c>
      <c r="AT185" s="432">
        <v>0</v>
      </c>
      <c r="AU185" s="432">
        <v>0</v>
      </c>
      <c r="AV185" s="432">
        <v>0</v>
      </c>
      <c r="AW185" s="432">
        <v>0</v>
      </c>
      <c r="AX185" s="432">
        <v>0</v>
      </c>
      <c r="AY185" s="158">
        <v>0</v>
      </c>
      <c r="AZ185" s="158">
        <v>0</v>
      </c>
      <c r="BA185" s="158">
        <v>0</v>
      </c>
      <c r="BB185" s="158">
        <v>0</v>
      </c>
      <c r="BC185" s="158">
        <v>0</v>
      </c>
      <c r="BD185" s="158">
        <v>0</v>
      </c>
      <c r="BE185" s="158">
        <v>0</v>
      </c>
      <c r="BF185" s="160">
        <v>0</v>
      </c>
      <c r="BG185" s="383">
        <v>2023</v>
      </c>
      <c r="BH185" s="383">
        <v>1</v>
      </c>
      <c r="BI185" s="383">
        <v>19</v>
      </c>
      <c r="BJ185" s="148"/>
      <c r="BK185" s="147" t="str">
        <f>IF(R185=SUM(Z185,AH185,AP185,AX185,BF185),"○","×")</f>
        <v>○</v>
      </c>
    </row>
    <row r="186" spans="1:63" x14ac:dyDescent="0.2">
      <c r="A186" s="428">
        <v>1375</v>
      </c>
      <c r="B186" s="429"/>
      <c r="C186" s="430"/>
      <c r="D186" s="429"/>
      <c r="E186" s="430"/>
      <c r="F186" s="429"/>
      <c r="G186" s="429"/>
      <c r="H186" s="430"/>
      <c r="I186" s="429"/>
      <c r="J186" s="429"/>
      <c r="K186" s="429"/>
      <c r="L186" s="383"/>
      <c r="M186" s="383" t="s">
        <v>622</v>
      </c>
      <c r="N186" s="383" t="s">
        <v>329</v>
      </c>
      <c r="O186" s="383" t="s">
        <v>423</v>
      </c>
      <c r="P186" s="383" t="s">
        <v>970</v>
      </c>
      <c r="Q186" s="383"/>
      <c r="R186" s="431">
        <v>659000</v>
      </c>
      <c r="S186" s="158">
        <v>0</v>
      </c>
      <c r="T186" s="158">
        <v>0</v>
      </c>
      <c r="U186" s="158">
        <v>0</v>
      </c>
      <c r="V186" s="158">
        <v>0</v>
      </c>
      <c r="W186" s="158">
        <v>0</v>
      </c>
      <c r="X186" s="158">
        <v>0</v>
      </c>
      <c r="Y186" s="158">
        <v>0</v>
      </c>
      <c r="Z186" s="158">
        <v>0</v>
      </c>
      <c r="AA186" s="432">
        <v>0</v>
      </c>
      <c r="AB186" s="432">
        <v>0</v>
      </c>
      <c r="AC186" s="432">
        <v>0</v>
      </c>
      <c r="AD186" s="432">
        <v>0</v>
      </c>
      <c r="AE186" s="432">
        <v>0</v>
      </c>
      <c r="AF186" s="432">
        <v>0</v>
      </c>
      <c r="AG186" s="432">
        <v>0</v>
      </c>
      <c r="AH186" s="432">
        <v>0</v>
      </c>
      <c r="AI186" s="158">
        <v>659120</v>
      </c>
      <c r="AJ186" s="158">
        <v>0</v>
      </c>
      <c r="AK186" s="158">
        <v>659120</v>
      </c>
      <c r="AL186" s="158">
        <v>659120</v>
      </c>
      <c r="AM186" s="158">
        <v>7776000</v>
      </c>
      <c r="AN186" s="158">
        <v>659120</v>
      </c>
      <c r="AO186" s="158">
        <v>659120</v>
      </c>
      <c r="AP186" s="158">
        <v>659000</v>
      </c>
      <c r="AQ186" s="432">
        <v>0</v>
      </c>
      <c r="AR186" s="432">
        <v>0</v>
      </c>
      <c r="AS186" s="432">
        <v>0</v>
      </c>
      <c r="AT186" s="432">
        <v>0</v>
      </c>
      <c r="AU186" s="432">
        <v>0</v>
      </c>
      <c r="AV186" s="432">
        <v>0</v>
      </c>
      <c r="AW186" s="432">
        <v>0</v>
      </c>
      <c r="AX186" s="432">
        <v>0</v>
      </c>
      <c r="AY186" s="158">
        <v>0</v>
      </c>
      <c r="AZ186" s="158">
        <v>0</v>
      </c>
      <c r="BA186" s="158">
        <v>0</v>
      </c>
      <c r="BB186" s="158">
        <v>0</v>
      </c>
      <c r="BC186" s="158">
        <v>0</v>
      </c>
      <c r="BD186" s="158">
        <v>0</v>
      </c>
      <c r="BE186" s="158">
        <v>0</v>
      </c>
      <c r="BF186" s="160">
        <v>0</v>
      </c>
      <c r="BG186" s="383">
        <v>2023</v>
      </c>
      <c r="BH186" s="383">
        <v>1</v>
      </c>
      <c r="BI186" s="383">
        <v>19</v>
      </c>
      <c r="BJ186" s="152"/>
      <c r="BK186" s="147" t="str">
        <f>IF(R186=SUM(Z186,AH186,AP186,AX186,BF186),"○","×")</f>
        <v>○</v>
      </c>
    </row>
    <row r="187" spans="1:63" x14ac:dyDescent="0.2">
      <c r="A187" s="428">
        <v>1376</v>
      </c>
      <c r="B187" s="429"/>
      <c r="C187" s="430"/>
      <c r="D187" s="429"/>
      <c r="E187" s="430"/>
      <c r="F187" s="429"/>
      <c r="G187" s="429"/>
      <c r="H187" s="430"/>
      <c r="I187" s="429"/>
      <c r="J187" s="429"/>
      <c r="K187" s="429"/>
      <c r="L187" s="383"/>
      <c r="M187" s="383" t="s">
        <v>623</v>
      </c>
      <c r="N187" s="383" t="s">
        <v>353</v>
      </c>
      <c r="O187" s="383" t="s">
        <v>395</v>
      </c>
      <c r="P187" s="383" t="s">
        <v>971</v>
      </c>
      <c r="Q187" s="383"/>
      <c r="R187" s="431">
        <v>160000</v>
      </c>
      <c r="S187" s="158">
        <v>0</v>
      </c>
      <c r="T187" s="158">
        <v>0</v>
      </c>
      <c r="U187" s="158">
        <v>0</v>
      </c>
      <c r="V187" s="158">
        <v>0</v>
      </c>
      <c r="W187" s="158">
        <v>0</v>
      </c>
      <c r="X187" s="158">
        <v>0</v>
      </c>
      <c r="Y187" s="158">
        <v>0</v>
      </c>
      <c r="Z187" s="158">
        <v>0</v>
      </c>
      <c r="AA187" s="432">
        <v>0</v>
      </c>
      <c r="AB187" s="432">
        <v>0</v>
      </c>
      <c r="AC187" s="432">
        <v>0</v>
      </c>
      <c r="AD187" s="432">
        <v>0</v>
      </c>
      <c r="AE187" s="432">
        <v>0</v>
      </c>
      <c r="AF187" s="432">
        <v>0</v>
      </c>
      <c r="AG187" s="432">
        <v>0</v>
      </c>
      <c r="AH187" s="432">
        <v>0</v>
      </c>
      <c r="AI187" s="158">
        <v>160270</v>
      </c>
      <c r="AJ187" s="158">
        <v>0</v>
      </c>
      <c r="AK187" s="158">
        <v>160270</v>
      </c>
      <c r="AL187" s="158">
        <v>160270</v>
      </c>
      <c r="AM187" s="158">
        <v>1544400</v>
      </c>
      <c r="AN187" s="158">
        <v>160270</v>
      </c>
      <c r="AO187" s="158">
        <v>160270</v>
      </c>
      <c r="AP187" s="158">
        <v>160000</v>
      </c>
      <c r="AQ187" s="432">
        <v>0</v>
      </c>
      <c r="AR187" s="432">
        <v>0</v>
      </c>
      <c r="AS187" s="432">
        <v>0</v>
      </c>
      <c r="AT187" s="432">
        <v>0</v>
      </c>
      <c r="AU187" s="432">
        <v>0</v>
      </c>
      <c r="AV187" s="432">
        <v>0</v>
      </c>
      <c r="AW187" s="432">
        <v>0</v>
      </c>
      <c r="AX187" s="432">
        <v>0</v>
      </c>
      <c r="AY187" s="158">
        <v>0</v>
      </c>
      <c r="AZ187" s="158">
        <v>0</v>
      </c>
      <c r="BA187" s="158">
        <v>0</v>
      </c>
      <c r="BB187" s="158">
        <v>0</v>
      </c>
      <c r="BC187" s="158">
        <v>0</v>
      </c>
      <c r="BD187" s="158">
        <v>0</v>
      </c>
      <c r="BE187" s="158">
        <v>0</v>
      </c>
      <c r="BF187" s="160">
        <v>0</v>
      </c>
      <c r="BG187" s="383">
        <v>2023</v>
      </c>
      <c r="BH187" s="383">
        <v>1</v>
      </c>
      <c r="BI187" s="383">
        <v>19</v>
      </c>
      <c r="BK187" s="147" t="str">
        <f>IF(R187=SUM(Z187,AH187,AP187,AX187,BF187),"○","×")</f>
        <v>○</v>
      </c>
    </row>
    <row r="188" spans="1:63" x14ac:dyDescent="0.2">
      <c r="A188" s="428">
        <v>1377</v>
      </c>
      <c r="B188" s="429"/>
      <c r="C188" s="430"/>
      <c r="D188" s="429"/>
      <c r="E188" s="430"/>
      <c r="F188" s="429"/>
      <c r="G188" s="429"/>
      <c r="H188" s="430"/>
      <c r="I188" s="429"/>
      <c r="J188" s="429"/>
      <c r="K188" s="429"/>
      <c r="L188" s="383"/>
      <c r="M188" s="383" t="s">
        <v>455</v>
      </c>
      <c r="N188" s="383" t="s">
        <v>323</v>
      </c>
      <c r="O188" s="383" t="s">
        <v>439</v>
      </c>
      <c r="P188" s="383" t="s">
        <v>970</v>
      </c>
      <c r="Q188" s="383"/>
      <c r="R188" s="431">
        <v>742000</v>
      </c>
      <c r="S188" s="158">
        <v>0</v>
      </c>
      <c r="T188" s="158">
        <v>0</v>
      </c>
      <c r="U188" s="158">
        <v>0</v>
      </c>
      <c r="V188" s="158">
        <v>0</v>
      </c>
      <c r="W188" s="158">
        <v>0</v>
      </c>
      <c r="X188" s="158">
        <v>0</v>
      </c>
      <c r="Y188" s="158">
        <v>0</v>
      </c>
      <c r="Z188" s="158">
        <v>0</v>
      </c>
      <c r="AA188" s="432">
        <v>0</v>
      </c>
      <c r="AB188" s="432">
        <v>0</v>
      </c>
      <c r="AC188" s="432">
        <v>0</v>
      </c>
      <c r="AD188" s="432">
        <v>0</v>
      </c>
      <c r="AE188" s="432">
        <v>0</v>
      </c>
      <c r="AF188" s="432">
        <v>0</v>
      </c>
      <c r="AG188" s="432">
        <v>0</v>
      </c>
      <c r="AH188" s="432">
        <v>0</v>
      </c>
      <c r="AI188" s="158">
        <v>742060</v>
      </c>
      <c r="AJ188" s="158">
        <v>0</v>
      </c>
      <c r="AK188" s="158">
        <v>742060</v>
      </c>
      <c r="AL188" s="158">
        <v>742060</v>
      </c>
      <c r="AM188" s="158">
        <v>2035296</v>
      </c>
      <c r="AN188" s="158">
        <v>742060</v>
      </c>
      <c r="AO188" s="158">
        <v>742060</v>
      </c>
      <c r="AP188" s="158">
        <v>742000</v>
      </c>
      <c r="AQ188" s="432">
        <v>0</v>
      </c>
      <c r="AR188" s="432">
        <v>0</v>
      </c>
      <c r="AS188" s="432">
        <v>0</v>
      </c>
      <c r="AT188" s="432">
        <v>0</v>
      </c>
      <c r="AU188" s="432">
        <v>0</v>
      </c>
      <c r="AV188" s="432">
        <v>0</v>
      </c>
      <c r="AW188" s="432">
        <v>0</v>
      </c>
      <c r="AX188" s="432">
        <v>0</v>
      </c>
      <c r="AY188" s="158">
        <v>0</v>
      </c>
      <c r="AZ188" s="158">
        <v>0</v>
      </c>
      <c r="BA188" s="158">
        <v>0</v>
      </c>
      <c r="BB188" s="158">
        <v>0</v>
      </c>
      <c r="BC188" s="158">
        <v>0</v>
      </c>
      <c r="BD188" s="158">
        <v>0</v>
      </c>
      <c r="BE188" s="158">
        <v>0</v>
      </c>
      <c r="BF188" s="160">
        <v>0</v>
      </c>
      <c r="BG188" s="383">
        <v>2023</v>
      </c>
      <c r="BH188" s="383">
        <v>1</v>
      </c>
      <c r="BI188" s="383">
        <v>19</v>
      </c>
      <c r="BK188" s="147" t="str">
        <f>IF(R188=SUM(Z188,AH188,AP188,AX188,BF188),"○","×")</f>
        <v>○</v>
      </c>
    </row>
    <row r="189" spans="1:63" x14ac:dyDescent="0.2">
      <c r="A189" s="428">
        <v>1378</v>
      </c>
      <c r="B189" s="429"/>
      <c r="C189" s="430"/>
      <c r="D189" s="429"/>
      <c r="E189" s="430"/>
      <c r="F189" s="429"/>
      <c r="G189" s="429"/>
      <c r="H189" s="430"/>
      <c r="I189" s="429"/>
      <c r="J189" s="429"/>
      <c r="K189" s="429"/>
      <c r="L189" s="383"/>
      <c r="M189" s="383" t="s">
        <v>624</v>
      </c>
      <c r="N189" s="383" t="s">
        <v>323</v>
      </c>
      <c r="O189" s="383" t="s">
        <v>625</v>
      </c>
      <c r="P189" s="383" t="s">
        <v>970</v>
      </c>
      <c r="Q189" s="383"/>
      <c r="R189" s="431">
        <v>58000</v>
      </c>
      <c r="S189" s="158">
        <v>0</v>
      </c>
      <c r="T189" s="158">
        <v>0</v>
      </c>
      <c r="U189" s="158">
        <v>0</v>
      </c>
      <c r="V189" s="158">
        <v>0</v>
      </c>
      <c r="W189" s="158">
        <v>0</v>
      </c>
      <c r="X189" s="158">
        <v>0</v>
      </c>
      <c r="Y189" s="158">
        <v>0</v>
      </c>
      <c r="Z189" s="158">
        <v>0</v>
      </c>
      <c r="AA189" s="432">
        <v>0</v>
      </c>
      <c r="AB189" s="432">
        <v>0</v>
      </c>
      <c r="AC189" s="432">
        <v>0</v>
      </c>
      <c r="AD189" s="432">
        <v>0</v>
      </c>
      <c r="AE189" s="432">
        <v>0</v>
      </c>
      <c r="AF189" s="432">
        <v>0</v>
      </c>
      <c r="AG189" s="432">
        <v>0</v>
      </c>
      <c r="AH189" s="432">
        <v>0</v>
      </c>
      <c r="AI189" s="158">
        <v>58080</v>
      </c>
      <c r="AJ189" s="158">
        <v>0</v>
      </c>
      <c r="AK189" s="158">
        <v>58080</v>
      </c>
      <c r="AL189" s="158">
        <v>58080</v>
      </c>
      <c r="AM189" s="158">
        <v>1566000</v>
      </c>
      <c r="AN189" s="158">
        <v>58080</v>
      </c>
      <c r="AO189" s="158">
        <v>58080</v>
      </c>
      <c r="AP189" s="158">
        <v>58000</v>
      </c>
      <c r="AQ189" s="432">
        <v>0</v>
      </c>
      <c r="AR189" s="432">
        <v>0</v>
      </c>
      <c r="AS189" s="432">
        <v>0</v>
      </c>
      <c r="AT189" s="432">
        <v>0</v>
      </c>
      <c r="AU189" s="432">
        <v>0</v>
      </c>
      <c r="AV189" s="432">
        <v>0</v>
      </c>
      <c r="AW189" s="432">
        <v>0</v>
      </c>
      <c r="AX189" s="432">
        <v>0</v>
      </c>
      <c r="AY189" s="158">
        <v>0</v>
      </c>
      <c r="AZ189" s="158">
        <v>0</v>
      </c>
      <c r="BA189" s="158">
        <v>0</v>
      </c>
      <c r="BB189" s="158">
        <v>0</v>
      </c>
      <c r="BC189" s="158">
        <v>0</v>
      </c>
      <c r="BD189" s="158">
        <v>0</v>
      </c>
      <c r="BE189" s="158">
        <v>0</v>
      </c>
      <c r="BF189" s="160">
        <v>0</v>
      </c>
      <c r="BG189" s="383">
        <v>2023</v>
      </c>
      <c r="BH189" s="383">
        <v>1</v>
      </c>
      <c r="BI189" s="383">
        <v>19</v>
      </c>
      <c r="BK189" s="147" t="str">
        <f>IF(R189=SUM(Z189,AH189,AP189,AX189,BF189),"○","×")</f>
        <v>○</v>
      </c>
    </row>
    <row r="190" spans="1:63" x14ac:dyDescent="0.2">
      <c r="A190" s="428">
        <v>1379</v>
      </c>
      <c r="B190" s="429"/>
      <c r="C190" s="430"/>
      <c r="D190" s="429"/>
      <c r="E190" s="430"/>
      <c r="F190" s="429"/>
      <c r="G190" s="429"/>
      <c r="H190" s="430"/>
      <c r="I190" s="429"/>
      <c r="J190" s="429"/>
      <c r="K190" s="429"/>
      <c r="L190" s="383"/>
      <c r="M190" s="383" t="s">
        <v>626</v>
      </c>
      <c r="N190" s="383" t="s">
        <v>323</v>
      </c>
      <c r="O190" s="383" t="s">
        <v>351</v>
      </c>
      <c r="P190" s="383" t="s">
        <v>970</v>
      </c>
      <c r="Q190" s="383"/>
      <c r="R190" s="431">
        <v>385000</v>
      </c>
      <c r="S190" s="158">
        <v>0</v>
      </c>
      <c r="T190" s="158">
        <v>0</v>
      </c>
      <c r="U190" s="158">
        <v>0</v>
      </c>
      <c r="V190" s="158">
        <v>0</v>
      </c>
      <c r="W190" s="158">
        <v>0</v>
      </c>
      <c r="X190" s="158">
        <v>0</v>
      </c>
      <c r="Y190" s="158">
        <v>0</v>
      </c>
      <c r="Z190" s="158">
        <v>0</v>
      </c>
      <c r="AA190" s="432">
        <v>0</v>
      </c>
      <c r="AB190" s="432">
        <v>0</v>
      </c>
      <c r="AC190" s="432">
        <v>0</v>
      </c>
      <c r="AD190" s="432">
        <v>0</v>
      </c>
      <c r="AE190" s="432">
        <v>0</v>
      </c>
      <c r="AF190" s="432">
        <v>0</v>
      </c>
      <c r="AG190" s="432">
        <v>0</v>
      </c>
      <c r="AH190" s="432">
        <v>0</v>
      </c>
      <c r="AI190" s="158">
        <v>385979</v>
      </c>
      <c r="AJ190" s="158">
        <v>0</v>
      </c>
      <c r="AK190" s="158">
        <v>385979</v>
      </c>
      <c r="AL190" s="158">
        <v>385979</v>
      </c>
      <c r="AM190" s="158">
        <v>1555200</v>
      </c>
      <c r="AN190" s="158">
        <v>385979</v>
      </c>
      <c r="AO190" s="158">
        <v>385979</v>
      </c>
      <c r="AP190" s="158">
        <v>385000</v>
      </c>
      <c r="AQ190" s="432">
        <v>0</v>
      </c>
      <c r="AR190" s="432">
        <v>0</v>
      </c>
      <c r="AS190" s="432">
        <v>0</v>
      </c>
      <c r="AT190" s="432">
        <v>0</v>
      </c>
      <c r="AU190" s="432">
        <v>0</v>
      </c>
      <c r="AV190" s="432">
        <v>0</v>
      </c>
      <c r="AW190" s="432">
        <v>0</v>
      </c>
      <c r="AX190" s="432">
        <v>0</v>
      </c>
      <c r="AY190" s="158">
        <v>0</v>
      </c>
      <c r="AZ190" s="158">
        <v>0</v>
      </c>
      <c r="BA190" s="158">
        <v>0</v>
      </c>
      <c r="BB190" s="158">
        <v>0</v>
      </c>
      <c r="BC190" s="158">
        <v>0</v>
      </c>
      <c r="BD190" s="158">
        <v>0</v>
      </c>
      <c r="BE190" s="158">
        <v>0</v>
      </c>
      <c r="BF190" s="160">
        <v>0</v>
      </c>
      <c r="BG190" s="383">
        <v>2023</v>
      </c>
      <c r="BH190" s="383">
        <v>1</v>
      </c>
      <c r="BI190" s="383">
        <v>19</v>
      </c>
      <c r="BK190" s="147" t="str">
        <f>IF(R190=SUM(Z190,AH190,AP190,AX190,BF190),"○","×")</f>
        <v>○</v>
      </c>
    </row>
    <row r="191" spans="1:63" x14ac:dyDescent="0.2">
      <c r="A191" s="428">
        <v>1380</v>
      </c>
      <c r="B191" s="429"/>
      <c r="C191" s="430"/>
      <c r="D191" s="429"/>
      <c r="E191" s="430"/>
      <c r="F191" s="429"/>
      <c r="G191" s="429"/>
      <c r="H191" s="430"/>
      <c r="I191" s="429"/>
      <c r="J191" s="429"/>
      <c r="K191" s="429"/>
      <c r="L191" s="383"/>
      <c r="M191" s="383" t="s">
        <v>600</v>
      </c>
      <c r="N191" s="383" t="s">
        <v>323</v>
      </c>
      <c r="O191" s="383" t="s">
        <v>601</v>
      </c>
      <c r="P191" s="383" t="s">
        <v>970</v>
      </c>
      <c r="Q191" s="383"/>
      <c r="R191" s="431">
        <v>159000</v>
      </c>
      <c r="S191" s="158">
        <v>0</v>
      </c>
      <c r="T191" s="158">
        <v>0</v>
      </c>
      <c r="U191" s="158">
        <v>0</v>
      </c>
      <c r="V191" s="158">
        <v>0</v>
      </c>
      <c r="W191" s="158">
        <v>0</v>
      </c>
      <c r="X191" s="158">
        <v>0</v>
      </c>
      <c r="Y191" s="158">
        <v>0</v>
      </c>
      <c r="Z191" s="158">
        <v>0</v>
      </c>
      <c r="AA191" s="432">
        <v>0</v>
      </c>
      <c r="AB191" s="432">
        <v>0</v>
      </c>
      <c r="AC191" s="432">
        <v>0</v>
      </c>
      <c r="AD191" s="432">
        <v>0</v>
      </c>
      <c r="AE191" s="432">
        <v>0</v>
      </c>
      <c r="AF191" s="432">
        <v>0</v>
      </c>
      <c r="AG191" s="432">
        <v>0</v>
      </c>
      <c r="AH191" s="432">
        <v>0</v>
      </c>
      <c r="AI191" s="158">
        <v>159215</v>
      </c>
      <c r="AJ191" s="158">
        <v>0</v>
      </c>
      <c r="AK191" s="158">
        <v>159215</v>
      </c>
      <c r="AL191" s="158">
        <v>159215</v>
      </c>
      <c r="AM191" s="158">
        <v>1800000</v>
      </c>
      <c r="AN191" s="158">
        <v>159215</v>
      </c>
      <c r="AO191" s="158">
        <v>159215</v>
      </c>
      <c r="AP191" s="158">
        <v>159000</v>
      </c>
      <c r="AQ191" s="432">
        <v>0</v>
      </c>
      <c r="AR191" s="432">
        <v>0</v>
      </c>
      <c r="AS191" s="432">
        <v>0</v>
      </c>
      <c r="AT191" s="432">
        <v>0</v>
      </c>
      <c r="AU191" s="432">
        <v>0</v>
      </c>
      <c r="AV191" s="432">
        <v>0</v>
      </c>
      <c r="AW191" s="432">
        <v>0</v>
      </c>
      <c r="AX191" s="432">
        <v>0</v>
      </c>
      <c r="AY191" s="158">
        <v>0</v>
      </c>
      <c r="AZ191" s="158">
        <v>0</v>
      </c>
      <c r="BA191" s="158">
        <v>0</v>
      </c>
      <c r="BB191" s="158">
        <v>0</v>
      </c>
      <c r="BC191" s="158">
        <v>0</v>
      </c>
      <c r="BD191" s="158">
        <v>0</v>
      </c>
      <c r="BE191" s="158">
        <v>0</v>
      </c>
      <c r="BF191" s="160">
        <v>0</v>
      </c>
      <c r="BG191" s="383">
        <v>2023</v>
      </c>
      <c r="BH191" s="383">
        <v>1</v>
      </c>
      <c r="BI191" s="383">
        <v>19</v>
      </c>
      <c r="BK191" s="147" t="str">
        <f>IF(R191=SUM(Z191,AH191,AP191,AX191,BF191),"○","×")</f>
        <v>○</v>
      </c>
    </row>
    <row r="192" spans="1:63" x14ac:dyDescent="0.2">
      <c r="A192" s="428">
        <v>1381</v>
      </c>
      <c r="B192" s="429"/>
      <c r="C192" s="430"/>
      <c r="D192" s="429"/>
      <c r="E192" s="430"/>
      <c r="F192" s="429"/>
      <c r="G192" s="429"/>
      <c r="H192" s="430"/>
      <c r="I192" s="429"/>
      <c r="J192" s="429"/>
      <c r="K192" s="429"/>
      <c r="L192" s="383"/>
      <c r="M192" s="383" t="s">
        <v>627</v>
      </c>
      <c r="N192" s="383" t="s">
        <v>332</v>
      </c>
      <c r="O192" s="383" t="s">
        <v>628</v>
      </c>
      <c r="P192" s="383" t="s">
        <v>970</v>
      </c>
      <c r="Q192" s="383"/>
      <c r="R192" s="431">
        <v>222000</v>
      </c>
      <c r="S192" s="158">
        <v>0</v>
      </c>
      <c r="T192" s="158">
        <v>0</v>
      </c>
      <c r="U192" s="158">
        <v>0</v>
      </c>
      <c r="V192" s="158">
        <v>0</v>
      </c>
      <c r="W192" s="158">
        <v>0</v>
      </c>
      <c r="X192" s="158">
        <v>0</v>
      </c>
      <c r="Y192" s="158">
        <v>0</v>
      </c>
      <c r="Z192" s="158">
        <v>0</v>
      </c>
      <c r="AA192" s="432">
        <v>0</v>
      </c>
      <c r="AB192" s="432">
        <v>0</v>
      </c>
      <c r="AC192" s="432">
        <v>0</v>
      </c>
      <c r="AD192" s="432">
        <v>0</v>
      </c>
      <c r="AE192" s="432">
        <v>0</v>
      </c>
      <c r="AF192" s="432">
        <v>0</v>
      </c>
      <c r="AG192" s="432">
        <v>0</v>
      </c>
      <c r="AH192" s="432">
        <v>0</v>
      </c>
      <c r="AI192" s="158">
        <v>222738</v>
      </c>
      <c r="AJ192" s="158">
        <v>0</v>
      </c>
      <c r="AK192" s="158">
        <v>222738</v>
      </c>
      <c r="AL192" s="158">
        <v>222738</v>
      </c>
      <c r="AM192" s="158">
        <v>2073600</v>
      </c>
      <c r="AN192" s="158">
        <v>222738</v>
      </c>
      <c r="AO192" s="158">
        <v>222738</v>
      </c>
      <c r="AP192" s="158">
        <v>222000</v>
      </c>
      <c r="AQ192" s="432">
        <v>0</v>
      </c>
      <c r="AR192" s="432">
        <v>0</v>
      </c>
      <c r="AS192" s="432">
        <v>0</v>
      </c>
      <c r="AT192" s="432">
        <v>0</v>
      </c>
      <c r="AU192" s="432">
        <v>0</v>
      </c>
      <c r="AV192" s="432">
        <v>0</v>
      </c>
      <c r="AW192" s="432">
        <v>0</v>
      </c>
      <c r="AX192" s="432">
        <v>0</v>
      </c>
      <c r="AY192" s="158">
        <v>0</v>
      </c>
      <c r="AZ192" s="158">
        <v>0</v>
      </c>
      <c r="BA192" s="158">
        <v>0</v>
      </c>
      <c r="BB192" s="158">
        <v>0</v>
      </c>
      <c r="BC192" s="158">
        <v>0</v>
      </c>
      <c r="BD192" s="158">
        <v>0</v>
      </c>
      <c r="BE192" s="158">
        <v>0</v>
      </c>
      <c r="BF192" s="160">
        <v>0</v>
      </c>
      <c r="BG192" s="383">
        <v>2023</v>
      </c>
      <c r="BH192" s="383">
        <v>1</v>
      </c>
      <c r="BI192" s="383">
        <v>19</v>
      </c>
      <c r="BK192" s="147" t="str">
        <f>IF(R192=SUM(Z192,AH192,AP192,AX192,BF192),"○","×")</f>
        <v>○</v>
      </c>
    </row>
    <row r="193" spans="1:63" x14ac:dyDescent="0.2">
      <c r="A193" s="428">
        <v>1382</v>
      </c>
      <c r="B193" s="429"/>
      <c r="C193" s="430"/>
      <c r="D193" s="429"/>
      <c r="E193" s="430"/>
      <c r="F193" s="429"/>
      <c r="G193" s="429"/>
      <c r="H193" s="430"/>
      <c r="I193" s="429"/>
      <c r="J193" s="429"/>
      <c r="K193" s="429"/>
      <c r="L193" s="383"/>
      <c r="M193" s="383" t="s">
        <v>629</v>
      </c>
      <c r="N193" s="383" t="s">
        <v>547</v>
      </c>
      <c r="O193" s="383" t="s">
        <v>630</v>
      </c>
      <c r="P193" s="383" t="s">
        <v>970</v>
      </c>
      <c r="Q193" s="146"/>
      <c r="R193" s="431">
        <v>20000</v>
      </c>
      <c r="S193" s="158">
        <v>0</v>
      </c>
      <c r="T193" s="158">
        <v>0</v>
      </c>
      <c r="U193" s="158">
        <v>0</v>
      </c>
      <c r="V193" s="158">
        <v>0</v>
      </c>
      <c r="W193" s="158">
        <v>0</v>
      </c>
      <c r="X193" s="158">
        <v>0</v>
      </c>
      <c r="Y193" s="158">
        <v>0</v>
      </c>
      <c r="Z193" s="158">
        <v>0</v>
      </c>
      <c r="AA193" s="432">
        <v>0</v>
      </c>
      <c r="AB193" s="432">
        <v>0</v>
      </c>
      <c r="AC193" s="432">
        <v>0</v>
      </c>
      <c r="AD193" s="432">
        <v>0</v>
      </c>
      <c r="AE193" s="432">
        <v>0</v>
      </c>
      <c r="AF193" s="432">
        <v>0</v>
      </c>
      <c r="AG193" s="432">
        <v>0</v>
      </c>
      <c r="AH193" s="432">
        <v>0</v>
      </c>
      <c r="AI193" s="158">
        <v>20456</v>
      </c>
      <c r="AJ193" s="158">
        <v>0</v>
      </c>
      <c r="AK193" s="158">
        <v>20456</v>
      </c>
      <c r="AL193" s="158">
        <v>20456</v>
      </c>
      <c r="AM193" s="158">
        <v>720000</v>
      </c>
      <c r="AN193" s="158">
        <v>20456</v>
      </c>
      <c r="AO193" s="158">
        <v>20456</v>
      </c>
      <c r="AP193" s="158">
        <v>20000</v>
      </c>
      <c r="AQ193" s="432">
        <v>0</v>
      </c>
      <c r="AR193" s="432">
        <v>0</v>
      </c>
      <c r="AS193" s="432">
        <v>0</v>
      </c>
      <c r="AT193" s="432">
        <v>0</v>
      </c>
      <c r="AU193" s="432">
        <v>0</v>
      </c>
      <c r="AV193" s="432">
        <v>0</v>
      </c>
      <c r="AW193" s="432">
        <v>0</v>
      </c>
      <c r="AX193" s="432">
        <v>0</v>
      </c>
      <c r="AY193" s="158">
        <v>0</v>
      </c>
      <c r="AZ193" s="158">
        <v>0</v>
      </c>
      <c r="BA193" s="158">
        <v>0</v>
      </c>
      <c r="BB193" s="158">
        <v>0</v>
      </c>
      <c r="BC193" s="158">
        <v>0</v>
      </c>
      <c r="BD193" s="158">
        <v>0</v>
      </c>
      <c r="BE193" s="158">
        <v>0</v>
      </c>
      <c r="BF193" s="160">
        <v>0</v>
      </c>
      <c r="BG193" s="383">
        <v>2023</v>
      </c>
      <c r="BH193" s="383">
        <v>1</v>
      </c>
      <c r="BI193" s="383">
        <v>19</v>
      </c>
      <c r="BK193" s="147" t="str">
        <f>IF(R193=SUM(Z193,AH193,AP193,AX193,BF193),"○","×")</f>
        <v>○</v>
      </c>
    </row>
    <row r="194" spans="1:63" x14ac:dyDescent="0.2">
      <c r="A194" s="428">
        <v>1383</v>
      </c>
      <c r="B194" s="429"/>
      <c r="C194" s="430"/>
      <c r="D194" s="429"/>
      <c r="E194" s="430"/>
      <c r="F194" s="429"/>
      <c r="G194" s="429"/>
      <c r="H194" s="430"/>
      <c r="I194" s="429"/>
      <c r="J194" s="429"/>
      <c r="K194" s="429"/>
      <c r="L194" s="383"/>
      <c r="M194" s="383" t="s">
        <v>631</v>
      </c>
      <c r="N194" s="383" t="s">
        <v>408</v>
      </c>
      <c r="O194" s="383" t="s">
        <v>632</v>
      </c>
      <c r="P194" s="383" t="s">
        <v>970</v>
      </c>
      <c r="Q194" s="383"/>
      <c r="R194" s="431">
        <v>864000</v>
      </c>
      <c r="S194" s="158">
        <v>0</v>
      </c>
      <c r="T194" s="158">
        <v>0</v>
      </c>
      <c r="U194" s="158">
        <v>0</v>
      </c>
      <c r="V194" s="158">
        <v>0</v>
      </c>
      <c r="W194" s="158">
        <v>0</v>
      </c>
      <c r="X194" s="158">
        <v>0</v>
      </c>
      <c r="Y194" s="158">
        <v>0</v>
      </c>
      <c r="Z194" s="158">
        <v>0</v>
      </c>
      <c r="AA194" s="432">
        <v>0</v>
      </c>
      <c r="AB194" s="432">
        <v>0</v>
      </c>
      <c r="AC194" s="432">
        <v>0</v>
      </c>
      <c r="AD194" s="432">
        <v>0</v>
      </c>
      <c r="AE194" s="432">
        <v>0</v>
      </c>
      <c r="AF194" s="432">
        <v>0</v>
      </c>
      <c r="AG194" s="432">
        <v>0</v>
      </c>
      <c r="AH194" s="432">
        <v>0</v>
      </c>
      <c r="AI194" s="158">
        <v>908160</v>
      </c>
      <c r="AJ194" s="158">
        <v>0</v>
      </c>
      <c r="AK194" s="158">
        <v>908160</v>
      </c>
      <c r="AL194" s="158">
        <v>908160</v>
      </c>
      <c r="AM194" s="158">
        <v>864000</v>
      </c>
      <c r="AN194" s="158">
        <v>864000</v>
      </c>
      <c r="AO194" s="158">
        <v>864000</v>
      </c>
      <c r="AP194" s="158">
        <v>864000</v>
      </c>
      <c r="AQ194" s="432">
        <v>0</v>
      </c>
      <c r="AR194" s="432">
        <v>0</v>
      </c>
      <c r="AS194" s="432">
        <v>0</v>
      </c>
      <c r="AT194" s="432">
        <v>0</v>
      </c>
      <c r="AU194" s="432">
        <v>0</v>
      </c>
      <c r="AV194" s="432">
        <v>0</v>
      </c>
      <c r="AW194" s="432">
        <v>0</v>
      </c>
      <c r="AX194" s="432">
        <v>0</v>
      </c>
      <c r="AY194" s="158">
        <v>0</v>
      </c>
      <c r="AZ194" s="158">
        <v>0</v>
      </c>
      <c r="BA194" s="158">
        <v>0</v>
      </c>
      <c r="BB194" s="158">
        <v>0</v>
      </c>
      <c r="BC194" s="158">
        <v>0</v>
      </c>
      <c r="BD194" s="158">
        <v>0</v>
      </c>
      <c r="BE194" s="158">
        <v>0</v>
      </c>
      <c r="BF194" s="160">
        <v>0</v>
      </c>
      <c r="BG194" s="383">
        <v>2023</v>
      </c>
      <c r="BH194" s="383">
        <v>1</v>
      </c>
      <c r="BI194" s="383">
        <v>19</v>
      </c>
      <c r="BK194" s="147" t="str">
        <f>IF(R194=SUM(Z194,AH194,AP194,AX194,BF194),"○","×")</f>
        <v>○</v>
      </c>
    </row>
    <row r="195" spans="1:63" x14ac:dyDescent="0.2">
      <c r="A195" s="428">
        <v>1384</v>
      </c>
      <c r="B195" s="429"/>
      <c r="C195" s="430"/>
      <c r="D195" s="429"/>
      <c r="E195" s="430"/>
      <c r="F195" s="429"/>
      <c r="G195" s="429"/>
      <c r="H195" s="430"/>
      <c r="I195" s="429"/>
      <c r="J195" s="429"/>
      <c r="K195" s="429"/>
      <c r="L195" s="383"/>
      <c r="M195" s="383" t="s">
        <v>596</v>
      </c>
      <c r="N195" s="383" t="s">
        <v>323</v>
      </c>
      <c r="O195" s="383" t="s">
        <v>418</v>
      </c>
      <c r="P195" s="383" t="s">
        <v>970</v>
      </c>
      <c r="Q195" s="146"/>
      <c r="R195" s="431">
        <v>10000</v>
      </c>
      <c r="S195" s="158">
        <v>0</v>
      </c>
      <c r="T195" s="158">
        <v>0</v>
      </c>
      <c r="U195" s="158">
        <v>0</v>
      </c>
      <c r="V195" s="158">
        <v>0</v>
      </c>
      <c r="W195" s="158">
        <v>0</v>
      </c>
      <c r="X195" s="158">
        <v>0</v>
      </c>
      <c r="Y195" s="158">
        <v>0</v>
      </c>
      <c r="Z195" s="158">
        <v>0</v>
      </c>
      <c r="AA195" s="432">
        <v>0</v>
      </c>
      <c r="AB195" s="432">
        <v>0</v>
      </c>
      <c r="AC195" s="432">
        <v>0</v>
      </c>
      <c r="AD195" s="432">
        <v>0</v>
      </c>
      <c r="AE195" s="432">
        <v>0</v>
      </c>
      <c r="AF195" s="432">
        <v>0</v>
      </c>
      <c r="AG195" s="432">
        <v>0</v>
      </c>
      <c r="AH195" s="432">
        <v>0</v>
      </c>
      <c r="AI195" s="158">
        <v>10643</v>
      </c>
      <c r="AJ195" s="158">
        <v>0</v>
      </c>
      <c r="AK195" s="158">
        <v>10643</v>
      </c>
      <c r="AL195" s="158">
        <v>10643</v>
      </c>
      <c r="AM195" s="158">
        <v>1382400</v>
      </c>
      <c r="AN195" s="158">
        <v>10643</v>
      </c>
      <c r="AO195" s="158">
        <v>10643</v>
      </c>
      <c r="AP195" s="158">
        <v>10000</v>
      </c>
      <c r="AQ195" s="432">
        <v>0</v>
      </c>
      <c r="AR195" s="432">
        <v>0</v>
      </c>
      <c r="AS195" s="432">
        <v>0</v>
      </c>
      <c r="AT195" s="432">
        <v>0</v>
      </c>
      <c r="AU195" s="432">
        <v>0</v>
      </c>
      <c r="AV195" s="432">
        <v>0</v>
      </c>
      <c r="AW195" s="432">
        <v>0</v>
      </c>
      <c r="AX195" s="432">
        <v>0</v>
      </c>
      <c r="AY195" s="158">
        <v>0</v>
      </c>
      <c r="AZ195" s="158">
        <v>0</v>
      </c>
      <c r="BA195" s="158">
        <v>0</v>
      </c>
      <c r="BB195" s="158">
        <v>0</v>
      </c>
      <c r="BC195" s="158">
        <v>0</v>
      </c>
      <c r="BD195" s="158">
        <v>0</v>
      </c>
      <c r="BE195" s="158">
        <v>0</v>
      </c>
      <c r="BF195" s="160">
        <v>0</v>
      </c>
      <c r="BG195" s="383">
        <v>2023</v>
      </c>
      <c r="BH195" s="383">
        <v>1</v>
      </c>
      <c r="BI195" s="383">
        <v>19</v>
      </c>
      <c r="BK195" s="147" t="str">
        <f>IF(R195=SUM(Z195,AH195,AP195,AX195,BF195),"○","×")</f>
        <v>○</v>
      </c>
    </row>
    <row r="196" spans="1:63" x14ac:dyDescent="0.2">
      <c r="A196" s="428">
        <v>1385</v>
      </c>
      <c r="B196" s="429"/>
      <c r="C196" s="430"/>
      <c r="D196" s="429"/>
      <c r="E196" s="430"/>
      <c r="F196" s="429"/>
      <c r="G196" s="429"/>
      <c r="H196" s="430"/>
      <c r="I196" s="429"/>
      <c r="J196" s="429"/>
      <c r="K196" s="429"/>
      <c r="L196" s="383"/>
      <c r="M196" s="383" t="s">
        <v>633</v>
      </c>
      <c r="N196" s="383" t="s">
        <v>323</v>
      </c>
      <c r="O196" s="383" t="s">
        <v>634</v>
      </c>
      <c r="P196" s="383" t="s">
        <v>970</v>
      </c>
      <c r="Q196" s="383"/>
      <c r="R196" s="431">
        <v>266000</v>
      </c>
      <c r="S196" s="158">
        <v>0</v>
      </c>
      <c r="T196" s="158">
        <v>0</v>
      </c>
      <c r="U196" s="158">
        <v>0</v>
      </c>
      <c r="V196" s="158">
        <v>0</v>
      </c>
      <c r="W196" s="158">
        <v>0</v>
      </c>
      <c r="X196" s="158">
        <v>0</v>
      </c>
      <c r="Y196" s="158">
        <v>0</v>
      </c>
      <c r="Z196" s="158">
        <v>0</v>
      </c>
      <c r="AA196" s="432">
        <v>0</v>
      </c>
      <c r="AB196" s="432">
        <v>0</v>
      </c>
      <c r="AC196" s="432">
        <v>0</v>
      </c>
      <c r="AD196" s="432">
        <v>0</v>
      </c>
      <c r="AE196" s="432">
        <v>0</v>
      </c>
      <c r="AF196" s="432">
        <v>0</v>
      </c>
      <c r="AG196" s="432">
        <v>0</v>
      </c>
      <c r="AH196" s="432">
        <v>0</v>
      </c>
      <c r="AI196" s="158">
        <v>266722</v>
      </c>
      <c r="AJ196" s="158">
        <v>0</v>
      </c>
      <c r="AK196" s="158">
        <v>266722</v>
      </c>
      <c r="AL196" s="158">
        <v>266722</v>
      </c>
      <c r="AM196" s="158">
        <v>1998000</v>
      </c>
      <c r="AN196" s="158">
        <v>266722</v>
      </c>
      <c r="AO196" s="158">
        <v>266722</v>
      </c>
      <c r="AP196" s="158">
        <v>266000</v>
      </c>
      <c r="AQ196" s="432">
        <v>0</v>
      </c>
      <c r="AR196" s="432">
        <v>0</v>
      </c>
      <c r="AS196" s="432">
        <v>0</v>
      </c>
      <c r="AT196" s="432">
        <v>0</v>
      </c>
      <c r="AU196" s="432">
        <v>0</v>
      </c>
      <c r="AV196" s="432">
        <v>0</v>
      </c>
      <c r="AW196" s="432">
        <v>0</v>
      </c>
      <c r="AX196" s="432">
        <v>0</v>
      </c>
      <c r="AY196" s="158">
        <v>0</v>
      </c>
      <c r="AZ196" s="158">
        <v>0</v>
      </c>
      <c r="BA196" s="158">
        <v>0</v>
      </c>
      <c r="BB196" s="158">
        <v>0</v>
      </c>
      <c r="BC196" s="158">
        <v>0</v>
      </c>
      <c r="BD196" s="158">
        <v>0</v>
      </c>
      <c r="BE196" s="158">
        <v>0</v>
      </c>
      <c r="BF196" s="160">
        <v>0</v>
      </c>
      <c r="BG196" s="383">
        <v>2023</v>
      </c>
      <c r="BH196" s="383">
        <v>1</v>
      </c>
      <c r="BI196" s="383">
        <v>19</v>
      </c>
      <c r="BK196" s="147" t="str">
        <f>IF(R196=SUM(Z196,AH196,AP196,AX196,BF196),"○","×")</f>
        <v>○</v>
      </c>
    </row>
    <row r="197" spans="1:63" x14ac:dyDescent="0.2">
      <c r="A197" s="428">
        <v>1386</v>
      </c>
      <c r="B197" s="429"/>
      <c r="C197" s="430"/>
      <c r="D197" s="429"/>
      <c r="E197" s="430"/>
      <c r="F197" s="429"/>
      <c r="G197" s="429"/>
      <c r="H197" s="430"/>
      <c r="I197" s="429"/>
      <c r="J197" s="429"/>
      <c r="K197" s="429"/>
      <c r="L197" s="383"/>
      <c r="M197" s="383" t="s">
        <v>635</v>
      </c>
      <c r="N197" s="383" t="s">
        <v>332</v>
      </c>
      <c r="O197" s="383" t="s">
        <v>636</v>
      </c>
      <c r="P197" s="383" t="s">
        <v>970</v>
      </c>
      <c r="Q197" s="383"/>
      <c r="R197" s="431">
        <v>180000</v>
      </c>
      <c r="S197" s="158">
        <v>0</v>
      </c>
      <c r="T197" s="158">
        <v>0</v>
      </c>
      <c r="U197" s="158">
        <v>0</v>
      </c>
      <c r="V197" s="158">
        <v>0</v>
      </c>
      <c r="W197" s="158">
        <v>0</v>
      </c>
      <c r="X197" s="158">
        <v>0</v>
      </c>
      <c r="Y197" s="158">
        <v>0</v>
      </c>
      <c r="Z197" s="158">
        <v>0</v>
      </c>
      <c r="AA197" s="432">
        <v>0</v>
      </c>
      <c r="AB197" s="432">
        <v>0</v>
      </c>
      <c r="AC197" s="432">
        <v>0</v>
      </c>
      <c r="AD197" s="432">
        <v>0</v>
      </c>
      <c r="AE197" s="432">
        <v>0</v>
      </c>
      <c r="AF197" s="432">
        <v>0</v>
      </c>
      <c r="AG197" s="432">
        <v>0</v>
      </c>
      <c r="AH197" s="432">
        <v>0</v>
      </c>
      <c r="AI197" s="158">
        <v>180250</v>
      </c>
      <c r="AJ197" s="158">
        <v>0</v>
      </c>
      <c r="AK197" s="158">
        <v>180250</v>
      </c>
      <c r="AL197" s="158">
        <v>180250</v>
      </c>
      <c r="AM197" s="158">
        <v>1317600</v>
      </c>
      <c r="AN197" s="158">
        <v>180250</v>
      </c>
      <c r="AO197" s="158">
        <v>180250</v>
      </c>
      <c r="AP197" s="158">
        <v>180000</v>
      </c>
      <c r="AQ197" s="432">
        <v>0</v>
      </c>
      <c r="AR197" s="432">
        <v>0</v>
      </c>
      <c r="AS197" s="432">
        <v>0</v>
      </c>
      <c r="AT197" s="432">
        <v>0</v>
      </c>
      <c r="AU197" s="432">
        <v>0</v>
      </c>
      <c r="AV197" s="432">
        <v>0</v>
      </c>
      <c r="AW197" s="432">
        <v>0</v>
      </c>
      <c r="AX197" s="432">
        <v>0</v>
      </c>
      <c r="AY197" s="158">
        <v>0</v>
      </c>
      <c r="AZ197" s="158">
        <v>0</v>
      </c>
      <c r="BA197" s="158">
        <v>0</v>
      </c>
      <c r="BB197" s="158">
        <v>0</v>
      </c>
      <c r="BC197" s="158">
        <v>0</v>
      </c>
      <c r="BD197" s="158">
        <v>0</v>
      </c>
      <c r="BE197" s="158">
        <v>0</v>
      </c>
      <c r="BF197" s="160">
        <v>0</v>
      </c>
      <c r="BG197" s="383">
        <v>2023</v>
      </c>
      <c r="BH197" s="383">
        <v>1</v>
      </c>
      <c r="BI197" s="383">
        <v>19</v>
      </c>
      <c r="BK197" s="147" t="str">
        <f>IF(R197=SUM(Z197,AH197,AP197,AX197,BF197),"○","×")</f>
        <v>○</v>
      </c>
    </row>
    <row r="198" spans="1:63" x14ac:dyDescent="0.2">
      <c r="A198" s="428">
        <v>1387</v>
      </c>
      <c r="B198" s="429"/>
      <c r="C198" s="430"/>
      <c r="D198" s="429"/>
      <c r="E198" s="430"/>
      <c r="F198" s="429"/>
      <c r="G198" s="429"/>
      <c r="H198" s="430"/>
      <c r="I198" s="429"/>
      <c r="J198" s="429"/>
      <c r="K198" s="429"/>
      <c r="L198" s="383"/>
      <c r="M198" s="383" t="s">
        <v>637</v>
      </c>
      <c r="N198" s="383" t="s">
        <v>353</v>
      </c>
      <c r="O198" s="383" t="s">
        <v>638</v>
      </c>
      <c r="P198" s="383" t="s">
        <v>970</v>
      </c>
      <c r="Q198" s="383"/>
      <c r="R198" s="431">
        <v>104000</v>
      </c>
      <c r="S198" s="158">
        <v>0</v>
      </c>
      <c r="T198" s="158">
        <v>0</v>
      </c>
      <c r="U198" s="158">
        <v>0</v>
      </c>
      <c r="V198" s="158">
        <v>0</v>
      </c>
      <c r="W198" s="158">
        <v>0</v>
      </c>
      <c r="X198" s="158">
        <v>0</v>
      </c>
      <c r="Y198" s="158">
        <v>0</v>
      </c>
      <c r="Z198" s="158">
        <v>0</v>
      </c>
      <c r="AA198" s="432">
        <v>0</v>
      </c>
      <c r="AB198" s="432">
        <v>0</v>
      </c>
      <c r="AC198" s="432">
        <v>0</v>
      </c>
      <c r="AD198" s="432">
        <v>0</v>
      </c>
      <c r="AE198" s="432">
        <v>0</v>
      </c>
      <c r="AF198" s="432">
        <v>0</v>
      </c>
      <c r="AG198" s="432">
        <v>0</v>
      </c>
      <c r="AH198" s="432">
        <v>0</v>
      </c>
      <c r="AI198" s="158">
        <v>104165</v>
      </c>
      <c r="AJ198" s="158">
        <v>0</v>
      </c>
      <c r="AK198" s="158">
        <v>104165</v>
      </c>
      <c r="AL198" s="158">
        <v>104165</v>
      </c>
      <c r="AM198" s="158">
        <v>2973600</v>
      </c>
      <c r="AN198" s="158">
        <v>104165</v>
      </c>
      <c r="AO198" s="158">
        <v>104165</v>
      </c>
      <c r="AP198" s="158">
        <v>104000</v>
      </c>
      <c r="AQ198" s="432">
        <v>0</v>
      </c>
      <c r="AR198" s="432">
        <v>0</v>
      </c>
      <c r="AS198" s="432">
        <v>0</v>
      </c>
      <c r="AT198" s="432">
        <v>0</v>
      </c>
      <c r="AU198" s="432">
        <v>0</v>
      </c>
      <c r="AV198" s="432">
        <v>0</v>
      </c>
      <c r="AW198" s="432">
        <v>0</v>
      </c>
      <c r="AX198" s="432">
        <v>0</v>
      </c>
      <c r="AY198" s="158">
        <v>0</v>
      </c>
      <c r="AZ198" s="158">
        <v>0</v>
      </c>
      <c r="BA198" s="158">
        <v>0</v>
      </c>
      <c r="BB198" s="158">
        <v>0</v>
      </c>
      <c r="BC198" s="158">
        <v>0</v>
      </c>
      <c r="BD198" s="158">
        <v>0</v>
      </c>
      <c r="BE198" s="158">
        <v>0</v>
      </c>
      <c r="BF198" s="160">
        <v>0</v>
      </c>
      <c r="BG198" s="383">
        <v>2023</v>
      </c>
      <c r="BH198" s="383">
        <v>1</v>
      </c>
      <c r="BI198" s="383">
        <v>19</v>
      </c>
      <c r="BK198" s="147" t="str">
        <f>IF(R198=SUM(Z198,AH198,AP198,AX198,BF198),"○","×")</f>
        <v>○</v>
      </c>
    </row>
    <row r="199" spans="1:63" x14ac:dyDescent="0.2">
      <c r="A199" s="428">
        <v>1388</v>
      </c>
      <c r="B199" s="429"/>
      <c r="C199" s="430"/>
      <c r="D199" s="429"/>
      <c r="E199" s="430"/>
      <c r="F199" s="429"/>
      <c r="G199" s="429"/>
      <c r="H199" s="430"/>
      <c r="I199" s="429"/>
      <c r="J199" s="429"/>
      <c r="K199" s="429"/>
      <c r="L199" s="383"/>
      <c r="M199" s="383" t="s">
        <v>322</v>
      </c>
      <c r="N199" s="383" t="s">
        <v>323</v>
      </c>
      <c r="O199" s="383" t="s">
        <v>324</v>
      </c>
      <c r="P199" s="383" t="s">
        <v>970</v>
      </c>
      <c r="Q199" s="383"/>
      <c r="R199" s="431">
        <v>212000</v>
      </c>
      <c r="S199" s="158">
        <v>0</v>
      </c>
      <c r="T199" s="158">
        <v>0</v>
      </c>
      <c r="U199" s="158">
        <v>0</v>
      </c>
      <c r="V199" s="158">
        <v>0</v>
      </c>
      <c r="W199" s="158">
        <v>0</v>
      </c>
      <c r="X199" s="158">
        <v>0</v>
      </c>
      <c r="Y199" s="158">
        <v>0</v>
      </c>
      <c r="Z199" s="158">
        <v>0</v>
      </c>
      <c r="AA199" s="432">
        <v>0</v>
      </c>
      <c r="AB199" s="432">
        <v>0</v>
      </c>
      <c r="AC199" s="432">
        <v>0</v>
      </c>
      <c r="AD199" s="432">
        <v>0</v>
      </c>
      <c r="AE199" s="432">
        <v>0</v>
      </c>
      <c r="AF199" s="432">
        <v>0</v>
      </c>
      <c r="AG199" s="432">
        <v>0</v>
      </c>
      <c r="AH199" s="432">
        <v>0</v>
      </c>
      <c r="AI199" s="158">
        <v>212588</v>
      </c>
      <c r="AJ199" s="158">
        <v>0</v>
      </c>
      <c r="AK199" s="158">
        <v>212588</v>
      </c>
      <c r="AL199" s="158">
        <v>212588</v>
      </c>
      <c r="AM199" s="158">
        <v>1188000</v>
      </c>
      <c r="AN199" s="158">
        <v>212588</v>
      </c>
      <c r="AO199" s="158">
        <v>212588</v>
      </c>
      <c r="AP199" s="158">
        <v>212000</v>
      </c>
      <c r="AQ199" s="432">
        <v>0</v>
      </c>
      <c r="AR199" s="432">
        <v>0</v>
      </c>
      <c r="AS199" s="432">
        <v>0</v>
      </c>
      <c r="AT199" s="432">
        <v>0</v>
      </c>
      <c r="AU199" s="432">
        <v>0</v>
      </c>
      <c r="AV199" s="432">
        <v>0</v>
      </c>
      <c r="AW199" s="432">
        <v>0</v>
      </c>
      <c r="AX199" s="432">
        <v>0</v>
      </c>
      <c r="AY199" s="158">
        <v>0</v>
      </c>
      <c r="AZ199" s="158">
        <v>0</v>
      </c>
      <c r="BA199" s="158">
        <v>0</v>
      </c>
      <c r="BB199" s="158">
        <v>0</v>
      </c>
      <c r="BC199" s="158">
        <v>0</v>
      </c>
      <c r="BD199" s="158">
        <v>0</v>
      </c>
      <c r="BE199" s="158">
        <v>0</v>
      </c>
      <c r="BF199" s="160">
        <v>0</v>
      </c>
      <c r="BG199" s="383">
        <v>2023</v>
      </c>
      <c r="BH199" s="383">
        <v>1</v>
      </c>
      <c r="BI199" s="383">
        <v>19</v>
      </c>
      <c r="BK199" s="147" t="str">
        <f>IF(R199=SUM(Z199,AH199,AP199,AX199,BF199),"○","×")</f>
        <v>○</v>
      </c>
    </row>
    <row r="200" spans="1:63" x14ac:dyDescent="0.2">
      <c r="A200" s="428">
        <v>1389</v>
      </c>
      <c r="B200" s="429"/>
      <c r="C200" s="430"/>
      <c r="D200" s="429"/>
      <c r="E200" s="430"/>
      <c r="F200" s="429"/>
      <c r="G200" s="429"/>
      <c r="H200" s="430"/>
      <c r="I200" s="429"/>
      <c r="J200" s="429"/>
      <c r="K200" s="429"/>
      <c r="L200" s="383"/>
      <c r="M200" s="383" t="s">
        <v>331</v>
      </c>
      <c r="N200" s="383" t="s">
        <v>332</v>
      </c>
      <c r="O200" s="383" t="s">
        <v>333</v>
      </c>
      <c r="P200" s="383" t="s">
        <v>970</v>
      </c>
      <c r="Q200" s="383"/>
      <c r="R200" s="431">
        <v>192000</v>
      </c>
      <c r="S200" s="158">
        <v>0</v>
      </c>
      <c r="T200" s="158">
        <v>0</v>
      </c>
      <c r="U200" s="158">
        <v>0</v>
      </c>
      <c r="V200" s="158">
        <v>0</v>
      </c>
      <c r="W200" s="158">
        <v>0</v>
      </c>
      <c r="X200" s="158">
        <v>0</v>
      </c>
      <c r="Y200" s="158">
        <v>0</v>
      </c>
      <c r="Z200" s="158">
        <v>0</v>
      </c>
      <c r="AA200" s="432">
        <v>0</v>
      </c>
      <c r="AB200" s="432">
        <v>0</v>
      </c>
      <c r="AC200" s="432">
        <v>0</v>
      </c>
      <c r="AD200" s="432">
        <v>0</v>
      </c>
      <c r="AE200" s="432">
        <v>0</v>
      </c>
      <c r="AF200" s="432">
        <v>0</v>
      </c>
      <c r="AG200" s="432">
        <v>0</v>
      </c>
      <c r="AH200" s="432">
        <v>0</v>
      </c>
      <c r="AI200" s="158">
        <v>192100</v>
      </c>
      <c r="AJ200" s="158">
        <v>0</v>
      </c>
      <c r="AK200" s="158">
        <v>192100</v>
      </c>
      <c r="AL200" s="158">
        <v>192100</v>
      </c>
      <c r="AM200" s="158">
        <v>5184000</v>
      </c>
      <c r="AN200" s="158">
        <v>192100</v>
      </c>
      <c r="AO200" s="158">
        <v>192100</v>
      </c>
      <c r="AP200" s="158">
        <v>192000</v>
      </c>
      <c r="AQ200" s="432">
        <v>0</v>
      </c>
      <c r="AR200" s="432">
        <v>0</v>
      </c>
      <c r="AS200" s="432">
        <v>0</v>
      </c>
      <c r="AT200" s="432">
        <v>0</v>
      </c>
      <c r="AU200" s="432">
        <v>0</v>
      </c>
      <c r="AV200" s="432">
        <v>0</v>
      </c>
      <c r="AW200" s="432">
        <v>0</v>
      </c>
      <c r="AX200" s="432">
        <v>0</v>
      </c>
      <c r="AY200" s="158">
        <v>0</v>
      </c>
      <c r="AZ200" s="158">
        <v>0</v>
      </c>
      <c r="BA200" s="158">
        <v>0</v>
      </c>
      <c r="BB200" s="158">
        <v>0</v>
      </c>
      <c r="BC200" s="158">
        <v>0</v>
      </c>
      <c r="BD200" s="158">
        <v>0</v>
      </c>
      <c r="BE200" s="158">
        <v>0</v>
      </c>
      <c r="BF200" s="160">
        <v>0</v>
      </c>
      <c r="BG200" s="383">
        <v>2023</v>
      </c>
      <c r="BH200" s="383">
        <v>1</v>
      </c>
      <c r="BI200" s="383">
        <v>19</v>
      </c>
      <c r="BK200" s="147" t="str">
        <f>IF(R200=SUM(Z200,AH200,AP200,AX200,BF200),"○","×")</f>
        <v>○</v>
      </c>
    </row>
    <row r="201" spans="1:63" x14ac:dyDescent="0.2">
      <c r="A201" s="428">
        <v>1390</v>
      </c>
      <c r="B201" s="429"/>
      <c r="C201" s="430"/>
      <c r="D201" s="429"/>
      <c r="E201" s="430"/>
      <c r="F201" s="429"/>
      <c r="G201" s="429"/>
      <c r="H201" s="430"/>
      <c r="I201" s="429"/>
      <c r="J201" s="429"/>
      <c r="K201" s="429"/>
      <c r="L201" s="383"/>
      <c r="M201" s="383" t="s">
        <v>459</v>
      </c>
      <c r="N201" s="383" t="s">
        <v>367</v>
      </c>
      <c r="O201" s="383" t="s">
        <v>460</v>
      </c>
      <c r="P201" s="383" t="s">
        <v>970</v>
      </c>
      <c r="Q201" s="383"/>
      <c r="R201" s="431">
        <v>277000</v>
      </c>
      <c r="S201" s="158">
        <v>0</v>
      </c>
      <c r="T201" s="158">
        <v>0</v>
      </c>
      <c r="U201" s="158">
        <v>0</v>
      </c>
      <c r="V201" s="158">
        <v>0</v>
      </c>
      <c r="W201" s="158">
        <v>0</v>
      </c>
      <c r="X201" s="158">
        <v>0</v>
      </c>
      <c r="Y201" s="158">
        <v>0</v>
      </c>
      <c r="Z201" s="158">
        <v>0</v>
      </c>
      <c r="AA201" s="432">
        <v>0</v>
      </c>
      <c r="AB201" s="432">
        <v>0</v>
      </c>
      <c r="AC201" s="432">
        <v>0</v>
      </c>
      <c r="AD201" s="432">
        <v>0</v>
      </c>
      <c r="AE201" s="432">
        <v>0</v>
      </c>
      <c r="AF201" s="432">
        <v>0</v>
      </c>
      <c r="AG201" s="432">
        <v>0</v>
      </c>
      <c r="AH201" s="432">
        <v>0</v>
      </c>
      <c r="AI201" s="158">
        <v>277264</v>
      </c>
      <c r="AJ201" s="158">
        <v>0</v>
      </c>
      <c r="AK201" s="158">
        <v>277264</v>
      </c>
      <c r="AL201" s="158">
        <v>277264</v>
      </c>
      <c r="AM201" s="158">
        <v>5702400</v>
      </c>
      <c r="AN201" s="158">
        <v>277264</v>
      </c>
      <c r="AO201" s="158">
        <v>277264</v>
      </c>
      <c r="AP201" s="158">
        <v>277000</v>
      </c>
      <c r="AQ201" s="432">
        <v>0</v>
      </c>
      <c r="AR201" s="432">
        <v>0</v>
      </c>
      <c r="AS201" s="432">
        <v>0</v>
      </c>
      <c r="AT201" s="432">
        <v>0</v>
      </c>
      <c r="AU201" s="432">
        <v>0</v>
      </c>
      <c r="AV201" s="432">
        <v>0</v>
      </c>
      <c r="AW201" s="432">
        <v>0</v>
      </c>
      <c r="AX201" s="432">
        <v>0</v>
      </c>
      <c r="AY201" s="158">
        <v>0</v>
      </c>
      <c r="AZ201" s="158">
        <v>0</v>
      </c>
      <c r="BA201" s="158">
        <v>0</v>
      </c>
      <c r="BB201" s="158">
        <v>0</v>
      </c>
      <c r="BC201" s="158">
        <v>0</v>
      </c>
      <c r="BD201" s="158">
        <v>0</v>
      </c>
      <c r="BE201" s="158">
        <v>0</v>
      </c>
      <c r="BF201" s="160">
        <v>0</v>
      </c>
      <c r="BG201" s="383">
        <v>2023</v>
      </c>
      <c r="BH201" s="383">
        <v>1</v>
      </c>
      <c r="BI201" s="383">
        <v>19</v>
      </c>
      <c r="BK201" s="147" t="str">
        <f>IF(R201=SUM(Z201,AH201,AP201,AX201,BF201),"○","×")</f>
        <v>○</v>
      </c>
    </row>
    <row r="202" spans="1:63" x14ac:dyDescent="0.2">
      <c r="A202" s="428">
        <v>1391</v>
      </c>
      <c r="B202" s="429"/>
      <c r="C202" s="430"/>
      <c r="D202" s="429"/>
      <c r="E202" s="430"/>
      <c r="F202" s="429"/>
      <c r="G202" s="429"/>
      <c r="H202" s="430"/>
      <c r="I202" s="429"/>
      <c r="J202" s="429"/>
      <c r="K202" s="429"/>
      <c r="L202" s="383"/>
      <c r="M202" s="383" t="s">
        <v>639</v>
      </c>
      <c r="N202" s="383" t="s">
        <v>326</v>
      </c>
      <c r="O202" s="383" t="s">
        <v>338</v>
      </c>
      <c r="P202" s="383" t="s">
        <v>970</v>
      </c>
      <c r="Q202" s="383"/>
      <c r="R202" s="431">
        <v>57000</v>
      </c>
      <c r="S202" s="158">
        <v>0</v>
      </c>
      <c r="T202" s="158">
        <v>0</v>
      </c>
      <c r="U202" s="158">
        <v>0</v>
      </c>
      <c r="V202" s="158">
        <v>0</v>
      </c>
      <c r="W202" s="158">
        <v>0</v>
      </c>
      <c r="X202" s="158">
        <v>0</v>
      </c>
      <c r="Y202" s="158">
        <v>0</v>
      </c>
      <c r="Z202" s="158">
        <v>0</v>
      </c>
      <c r="AA202" s="432">
        <v>0</v>
      </c>
      <c r="AB202" s="432">
        <v>0</v>
      </c>
      <c r="AC202" s="432">
        <v>0</v>
      </c>
      <c r="AD202" s="432">
        <v>0</v>
      </c>
      <c r="AE202" s="432">
        <v>0</v>
      </c>
      <c r="AF202" s="432">
        <v>0</v>
      </c>
      <c r="AG202" s="432">
        <v>0</v>
      </c>
      <c r="AH202" s="432">
        <v>0</v>
      </c>
      <c r="AI202" s="158">
        <v>57420</v>
      </c>
      <c r="AJ202" s="158">
        <v>0</v>
      </c>
      <c r="AK202" s="158">
        <v>57420</v>
      </c>
      <c r="AL202" s="158">
        <v>57420</v>
      </c>
      <c r="AM202" s="158">
        <v>6426000</v>
      </c>
      <c r="AN202" s="158">
        <v>57420</v>
      </c>
      <c r="AO202" s="158">
        <v>57420</v>
      </c>
      <c r="AP202" s="158">
        <v>57000</v>
      </c>
      <c r="AQ202" s="432">
        <v>0</v>
      </c>
      <c r="AR202" s="432">
        <v>0</v>
      </c>
      <c r="AS202" s="432">
        <v>0</v>
      </c>
      <c r="AT202" s="432">
        <v>0</v>
      </c>
      <c r="AU202" s="432">
        <v>0</v>
      </c>
      <c r="AV202" s="432">
        <v>0</v>
      </c>
      <c r="AW202" s="432">
        <v>0</v>
      </c>
      <c r="AX202" s="432">
        <v>0</v>
      </c>
      <c r="AY202" s="158">
        <v>0</v>
      </c>
      <c r="AZ202" s="158">
        <v>0</v>
      </c>
      <c r="BA202" s="158">
        <v>0</v>
      </c>
      <c r="BB202" s="158">
        <v>0</v>
      </c>
      <c r="BC202" s="158">
        <v>0</v>
      </c>
      <c r="BD202" s="158">
        <v>0</v>
      </c>
      <c r="BE202" s="158">
        <v>0</v>
      </c>
      <c r="BF202" s="160">
        <v>0</v>
      </c>
      <c r="BG202" s="383">
        <v>2023</v>
      </c>
      <c r="BH202" s="383">
        <v>1</v>
      </c>
      <c r="BI202" s="383">
        <v>19</v>
      </c>
      <c r="BK202" s="147" t="str">
        <f>IF(R202=SUM(Z202,AH202,AP202,AX202,BF202),"○","×")</f>
        <v>○</v>
      </c>
    </row>
    <row r="203" spans="1:63" x14ac:dyDescent="0.2">
      <c r="A203" s="428">
        <v>1392</v>
      </c>
      <c r="B203" s="429"/>
      <c r="C203" s="430"/>
      <c r="D203" s="429"/>
      <c r="E203" s="430"/>
      <c r="F203" s="429"/>
      <c r="G203" s="429"/>
      <c r="H203" s="430"/>
      <c r="I203" s="429"/>
      <c r="J203" s="429"/>
      <c r="K203" s="429"/>
      <c r="L203" s="383"/>
      <c r="M203" s="383" t="s">
        <v>640</v>
      </c>
      <c r="N203" s="383" t="s">
        <v>340</v>
      </c>
      <c r="O203" s="383" t="s">
        <v>573</v>
      </c>
      <c r="P203" s="383" t="s">
        <v>970</v>
      </c>
      <c r="Q203" s="383"/>
      <c r="R203" s="431">
        <v>80000</v>
      </c>
      <c r="S203" s="158">
        <v>0</v>
      </c>
      <c r="T203" s="158">
        <v>0</v>
      </c>
      <c r="U203" s="158">
        <v>0</v>
      </c>
      <c r="V203" s="158">
        <v>0</v>
      </c>
      <c r="W203" s="158">
        <v>0</v>
      </c>
      <c r="X203" s="158">
        <v>0</v>
      </c>
      <c r="Y203" s="158">
        <v>0</v>
      </c>
      <c r="Z203" s="158">
        <v>0</v>
      </c>
      <c r="AA203" s="432">
        <v>0</v>
      </c>
      <c r="AB203" s="432">
        <v>0</v>
      </c>
      <c r="AC203" s="432">
        <v>0</v>
      </c>
      <c r="AD203" s="432">
        <v>0</v>
      </c>
      <c r="AE203" s="432">
        <v>0</v>
      </c>
      <c r="AF203" s="432">
        <v>0</v>
      </c>
      <c r="AG203" s="432">
        <v>0</v>
      </c>
      <c r="AH203" s="432">
        <v>0</v>
      </c>
      <c r="AI203" s="158">
        <v>80880</v>
      </c>
      <c r="AJ203" s="158">
        <v>0</v>
      </c>
      <c r="AK203" s="158">
        <v>80880</v>
      </c>
      <c r="AL203" s="158">
        <v>80880</v>
      </c>
      <c r="AM203" s="158">
        <v>1728000</v>
      </c>
      <c r="AN203" s="158">
        <v>80880</v>
      </c>
      <c r="AO203" s="158">
        <v>80880</v>
      </c>
      <c r="AP203" s="158">
        <v>80000</v>
      </c>
      <c r="AQ203" s="432">
        <v>0</v>
      </c>
      <c r="AR203" s="432">
        <v>0</v>
      </c>
      <c r="AS203" s="432">
        <v>0</v>
      </c>
      <c r="AT203" s="432">
        <v>0</v>
      </c>
      <c r="AU203" s="432">
        <v>0</v>
      </c>
      <c r="AV203" s="432">
        <v>0</v>
      </c>
      <c r="AW203" s="432">
        <v>0</v>
      </c>
      <c r="AX203" s="432">
        <v>0</v>
      </c>
      <c r="AY203" s="158">
        <v>0</v>
      </c>
      <c r="AZ203" s="158">
        <v>0</v>
      </c>
      <c r="BA203" s="158">
        <v>0</v>
      </c>
      <c r="BB203" s="158">
        <v>0</v>
      </c>
      <c r="BC203" s="158">
        <v>0</v>
      </c>
      <c r="BD203" s="158">
        <v>0</v>
      </c>
      <c r="BE203" s="158">
        <v>0</v>
      </c>
      <c r="BF203" s="160">
        <v>0</v>
      </c>
      <c r="BG203" s="383">
        <v>2023</v>
      </c>
      <c r="BH203" s="383">
        <v>1</v>
      </c>
      <c r="BI203" s="383">
        <v>19</v>
      </c>
      <c r="BK203" s="147" t="str">
        <f>IF(R203=SUM(Z203,AH203,AP203,AX203,BF203),"○","×")</f>
        <v>○</v>
      </c>
    </row>
    <row r="204" spans="1:63" x14ac:dyDescent="0.2">
      <c r="A204" s="428">
        <v>1393</v>
      </c>
      <c r="B204" s="429"/>
      <c r="C204" s="430"/>
      <c r="D204" s="429"/>
      <c r="E204" s="430"/>
      <c r="F204" s="429"/>
      <c r="G204" s="429"/>
      <c r="H204" s="430"/>
      <c r="I204" s="429"/>
      <c r="J204" s="429"/>
      <c r="K204" s="429"/>
      <c r="L204" s="383"/>
      <c r="M204" s="383" t="s">
        <v>641</v>
      </c>
      <c r="N204" s="383" t="s">
        <v>323</v>
      </c>
      <c r="O204" s="383" t="s">
        <v>642</v>
      </c>
      <c r="P204" s="383" t="s">
        <v>970</v>
      </c>
      <c r="Q204" s="383"/>
      <c r="R204" s="431">
        <v>97000</v>
      </c>
      <c r="S204" s="158">
        <v>0</v>
      </c>
      <c r="T204" s="158">
        <v>0</v>
      </c>
      <c r="U204" s="158">
        <v>0</v>
      </c>
      <c r="V204" s="158">
        <v>0</v>
      </c>
      <c r="W204" s="158">
        <v>0</v>
      </c>
      <c r="X204" s="158">
        <v>0</v>
      </c>
      <c r="Y204" s="158">
        <v>0</v>
      </c>
      <c r="Z204" s="158">
        <v>0</v>
      </c>
      <c r="AA204" s="432">
        <v>0</v>
      </c>
      <c r="AB204" s="432">
        <v>0</v>
      </c>
      <c r="AC204" s="432">
        <v>0</v>
      </c>
      <c r="AD204" s="432">
        <v>0</v>
      </c>
      <c r="AE204" s="432">
        <v>0</v>
      </c>
      <c r="AF204" s="432">
        <v>0</v>
      </c>
      <c r="AG204" s="432">
        <v>0</v>
      </c>
      <c r="AH204" s="432">
        <v>0</v>
      </c>
      <c r="AI204" s="158">
        <v>97470</v>
      </c>
      <c r="AJ204" s="158">
        <v>0</v>
      </c>
      <c r="AK204" s="158">
        <v>97470</v>
      </c>
      <c r="AL204" s="158">
        <v>97470</v>
      </c>
      <c r="AM204" s="158">
        <v>5961600</v>
      </c>
      <c r="AN204" s="158">
        <v>97470</v>
      </c>
      <c r="AO204" s="158">
        <v>97470</v>
      </c>
      <c r="AP204" s="158">
        <v>97000</v>
      </c>
      <c r="AQ204" s="432">
        <v>0</v>
      </c>
      <c r="AR204" s="432">
        <v>0</v>
      </c>
      <c r="AS204" s="432">
        <v>0</v>
      </c>
      <c r="AT204" s="432">
        <v>0</v>
      </c>
      <c r="AU204" s="432">
        <v>0</v>
      </c>
      <c r="AV204" s="432">
        <v>0</v>
      </c>
      <c r="AW204" s="432">
        <v>0</v>
      </c>
      <c r="AX204" s="432">
        <v>0</v>
      </c>
      <c r="AY204" s="158">
        <v>0</v>
      </c>
      <c r="AZ204" s="158">
        <v>0</v>
      </c>
      <c r="BA204" s="158">
        <v>0</v>
      </c>
      <c r="BB204" s="158">
        <v>0</v>
      </c>
      <c r="BC204" s="158">
        <v>0</v>
      </c>
      <c r="BD204" s="158">
        <v>0</v>
      </c>
      <c r="BE204" s="158">
        <v>0</v>
      </c>
      <c r="BF204" s="160">
        <v>0</v>
      </c>
      <c r="BG204" s="383">
        <v>2023</v>
      </c>
      <c r="BH204" s="383">
        <v>1</v>
      </c>
      <c r="BI204" s="383">
        <v>19</v>
      </c>
      <c r="BK204" s="147" t="str">
        <f>IF(R204=SUM(Z204,AH204,AP204,AX204,BF204),"○","×")</f>
        <v>○</v>
      </c>
    </row>
    <row r="205" spans="1:63" x14ac:dyDescent="0.2">
      <c r="A205" s="428">
        <v>1394</v>
      </c>
      <c r="B205" s="429"/>
      <c r="C205" s="430"/>
      <c r="D205" s="429"/>
      <c r="E205" s="430"/>
      <c r="F205" s="429"/>
      <c r="G205" s="429"/>
      <c r="H205" s="430"/>
      <c r="I205" s="429"/>
      <c r="J205" s="429"/>
      <c r="K205" s="429"/>
      <c r="L205" s="383"/>
      <c r="M205" s="383" t="s">
        <v>643</v>
      </c>
      <c r="N205" s="383" t="s">
        <v>340</v>
      </c>
      <c r="O205" s="383" t="s">
        <v>644</v>
      </c>
      <c r="P205" s="383" t="s">
        <v>970</v>
      </c>
      <c r="Q205" s="383"/>
      <c r="R205" s="431">
        <v>186000</v>
      </c>
      <c r="S205" s="158">
        <v>0</v>
      </c>
      <c r="T205" s="158">
        <v>0</v>
      </c>
      <c r="U205" s="158">
        <v>0</v>
      </c>
      <c r="V205" s="158">
        <v>0</v>
      </c>
      <c r="W205" s="158">
        <v>0</v>
      </c>
      <c r="X205" s="158">
        <v>0</v>
      </c>
      <c r="Y205" s="158">
        <v>0</v>
      </c>
      <c r="Z205" s="158">
        <v>0</v>
      </c>
      <c r="AA205" s="432">
        <v>0</v>
      </c>
      <c r="AB205" s="432">
        <v>0</v>
      </c>
      <c r="AC205" s="432">
        <v>0</v>
      </c>
      <c r="AD205" s="432">
        <v>0</v>
      </c>
      <c r="AE205" s="432">
        <v>0</v>
      </c>
      <c r="AF205" s="432">
        <v>0</v>
      </c>
      <c r="AG205" s="432">
        <v>0</v>
      </c>
      <c r="AH205" s="432">
        <v>0</v>
      </c>
      <c r="AI205" s="158">
        <v>186450</v>
      </c>
      <c r="AJ205" s="158">
        <v>0</v>
      </c>
      <c r="AK205" s="158">
        <v>186450</v>
      </c>
      <c r="AL205" s="158">
        <v>186450</v>
      </c>
      <c r="AM205" s="158">
        <v>1555200</v>
      </c>
      <c r="AN205" s="158">
        <v>186450</v>
      </c>
      <c r="AO205" s="158">
        <v>186450</v>
      </c>
      <c r="AP205" s="158">
        <v>186000</v>
      </c>
      <c r="AQ205" s="432">
        <v>0</v>
      </c>
      <c r="AR205" s="432">
        <v>0</v>
      </c>
      <c r="AS205" s="432">
        <v>0</v>
      </c>
      <c r="AT205" s="432">
        <v>0</v>
      </c>
      <c r="AU205" s="432">
        <v>0</v>
      </c>
      <c r="AV205" s="432">
        <v>0</v>
      </c>
      <c r="AW205" s="432">
        <v>0</v>
      </c>
      <c r="AX205" s="432">
        <v>0</v>
      </c>
      <c r="AY205" s="158">
        <v>0</v>
      </c>
      <c r="AZ205" s="158">
        <v>0</v>
      </c>
      <c r="BA205" s="158">
        <v>0</v>
      </c>
      <c r="BB205" s="158">
        <v>0</v>
      </c>
      <c r="BC205" s="158">
        <v>0</v>
      </c>
      <c r="BD205" s="158">
        <v>0</v>
      </c>
      <c r="BE205" s="158">
        <v>0</v>
      </c>
      <c r="BF205" s="160">
        <v>0</v>
      </c>
      <c r="BG205" s="383">
        <v>2023</v>
      </c>
      <c r="BH205" s="383">
        <v>1</v>
      </c>
      <c r="BI205" s="383">
        <v>19</v>
      </c>
      <c r="BK205" s="147" t="str">
        <f>IF(R205=SUM(Z205,AH205,AP205,AX205,BF205),"○","×")</f>
        <v>○</v>
      </c>
    </row>
    <row r="206" spans="1:63" x14ac:dyDescent="0.2">
      <c r="A206" s="428">
        <v>1395</v>
      </c>
      <c r="B206" s="429"/>
      <c r="C206" s="430"/>
      <c r="D206" s="429"/>
      <c r="E206" s="430"/>
      <c r="F206" s="429"/>
      <c r="G206" s="429"/>
      <c r="H206" s="430"/>
      <c r="I206" s="429"/>
      <c r="J206" s="429"/>
      <c r="K206" s="429"/>
      <c r="L206" s="383"/>
      <c r="M206" s="383" t="s">
        <v>645</v>
      </c>
      <c r="N206" s="383" t="s">
        <v>408</v>
      </c>
      <c r="O206" s="383" t="s">
        <v>646</v>
      </c>
      <c r="P206" s="383" t="s">
        <v>970</v>
      </c>
      <c r="Q206" s="383"/>
      <c r="R206" s="431">
        <v>288000</v>
      </c>
      <c r="S206" s="158">
        <v>0</v>
      </c>
      <c r="T206" s="158">
        <v>0</v>
      </c>
      <c r="U206" s="158">
        <v>0</v>
      </c>
      <c r="V206" s="158">
        <v>0</v>
      </c>
      <c r="W206" s="158">
        <v>0</v>
      </c>
      <c r="X206" s="158">
        <v>0</v>
      </c>
      <c r="Y206" s="158">
        <v>0</v>
      </c>
      <c r="Z206" s="158">
        <v>0</v>
      </c>
      <c r="AA206" s="432">
        <v>0</v>
      </c>
      <c r="AB206" s="432">
        <v>0</v>
      </c>
      <c r="AC206" s="432">
        <v>0</v>
      </c>
      <c r="AD206" s="432">
        <v>0</v>
      </c>
      <c r="AE206" s="432">
        <v>0</v>
      </c>
      <c r="AF206" s="432">
        <v>0</v>
      </c>
      <c r="AG206" s="432">
        <v>0</v>
      </c>
      <c r="AH206" s="432">
        <v>0</v>
      </c>
      <c r="AI206" s="158">
        <v>288520</v>
      </c>
      <c r="AJ206" s="158">
        <v>0</v>
      </c>
      <c r="AK206" s="158">
        <v>288520</v>
      </c>
      <c r="AL206" s="158">
        <v>288520</v>
      </c>
      <c r="AM206" s="158">
        <v>2592000</v>
      </c>
      <c r="AN206" s="158">
        <v>288520</v>
      </c>
      <c r="AO206" s="158">
        <v>288520</v>
      </c>
      <c r="AP206" s="158">
        <v>288000</v>
      </c>
      <c r="AQ206" s="432">
        <v>0</v>
      </c>
      <c r="AR206" s="432">
        <v>0</v>
      </c>
      <c r="AS206" s="432">
        <v>0</v>
      </c>
      <c r="AT206" s="432">
        <v>0</v>
      </c>
      <c r="AU206" s="432">
        <v>0</v>
      </c>
      <c r="AV206" s="432">
        <v>0</v>
      </c>
      <c r="AW206" s="432">
        <v>0</v>
      </c>
      <c r="AX206" s="432">
        <v>0</v>
      </c>
      <c r="AY206" s="158">
        <v>0</v>
      </c>
      <c r="AZ206" s="158">
        <v>0</v>
      </c>
      <c r="BA206" s="158">
        <v>0</v>
      </c>
      <c r="BB206" s="158">
        <v>0</v>
      </c>
      <c r="BC206" s="158">
        <v>0</v>
      </c>
      <c r="BD206" s="158">
        <v>0</v>
      </c>
      <c r="BE206" s="158">
        <v>0</v>
      </c>
      <c r="BF206" s="160">
        <v>0</v>
      </c>
      <c r="BG206" s="383">
        <v>2023</v>
      </c>
      <c r="BH206" s="383">
        <v>1</v>
      </c>
      <c r="BI206" s="383">
        <v>19</v>
      </c>
      <c r="BK206" s="147" t="str">
        <f>IF(R206=SUM(Z206,AH206,AP206,AX206,BF206),"○","×")</f>
        <v>○</v>
      </c>
    </row>
    <row r="207" spans="1:63" x14ac:dyDescent="0.2">
      <c r="A207" s="428">
        <v>1396</v>
      </c>
      <c r="B207" s="429"/>
      <c r="C207" s="430"/>
      <c r="D207" s="429"/>
      <c r="E207" s="430"/>
      <c r="F207" s="429"/>
      <c r="G207" s="429"/>
      <c r="H207" s="430"/>
      <c r="I207" s="429"/>
      <c r="J207" s="429"/>
      <c r="K207" s="429"/>
      <c r="L207" s="383"/>
      <c r="M207" s="383">
        <v>1530038</v>
      </c>
      <c r="N207" s="383" t="s">
        <v>353</v>
      </c>
      <c r="O207" s="383" t="s">
        <v>358</v>
      </c>
      <c r="P207" s="383" t="s">
        <v>970</v>
      </c>
      <c r="Q207" s="383"/>
      <c r="R207" s="431">
        <v>390000</v>
      </c>
      <c r="S207" s="158">
        <v>0</v>
      </c>
      <c r="T207" s="158">
        <v>0</v>
      </c>
      <c r="U207" s="158">
        <v>0</v>
      </c>
      <c r="V207" s="158">
        <v>0</v>
      </c>
      <c r="W207" s="158">
        <v>0</v>
      </c>
      <c r="X207" s="158">
        <v>0</v>
      </c>
      <c r="Y207" s="158">
        <v>0</v>
      </c>
      <c r="Z207" s="158">
        <v>0</v>
      </c>
      <c r="AA207" s="432">
        <v>0</v>
      </c>
      <c r="AB207" s="432">
        <v>0</v>
      </c>
      <c r="AC207" s="432">
        <v>0</v>
      </c>
      <c r="AD207" s="432">
        <v>0</v>
      </c>
      <c r="AE207" s="432">
        <v>0</v>
      </c>
      <c r="AF207" s="432">
        <v>0</v>
      </c>
      <c r="AG207" s="432">
        <v>0</v>
      </c>
      <c r="AH207" s="432">
        <v>0</v>
      </c>
      <c r="AI207" s="158">
        <v>390180</v>
      </c>
      <c r="AJ207" s="158">
        <v>0</v>
      </c>
      <c r="AK207" s="158">
        <v>390180</v>
      </c>
      <c r="AL207" s="158">
        <v>390180</v>
      </c>
      <c r="AM207" s="158">
        <v>3888000</v>
      </c>
      <c r="AN207" s="158">
        <v>390180</v>
      </c>
      <c r="AO207" s="158">
        <v>390180</v>
      </c>
      <c r="AP207" s="158">
        <v>390000</v>
      </c>
      <c r="AQ207" s="432">
        <v>0</v>
      </c>
      <c r="AR207" s="432">
        <v>0</v>
      </c>
      <c r="AS207" s="432">
        <v>0</v>
      </c>
      <c r="AT207" s="432">
        <v>0</v>
      </c>
      <c r="AU207" s="432">
        <v>0</v>
      </c>
      <c r="AV207" s="432">
        <v>0</v>
      </c>
      <c r="AW207" s="432">
        <v>0</v>
      </c>
      <c r="AX207" s="432">
        <v>0</v>
      </c>
      <c r="AY207" s="158">
        <v>0</v>
      </c>
      <c r="AZ207" s="158">
        <v>0</v>
      </c>
      <c r="BA207" s="158">
        <v>0</v>
      </c>
      <c r="BB207" s="158">
        <v>0</v>
      </c>
      <c r="BC207" s="158">
        <v>0</v>
      </c>
      <c r="BD207" s="158">
        <v>0</v>
      </c>
      <c r="BE207" s="158">
        <v>0</v>
      </c>
      <c r="BF207" s="160">
        <v>0</v>
      </c>
      <c r="BG207" s="383">
        <v>2023</v>
      </c>
      <c r="BH207" s="383">
        <v>1</v>
      </c>
      <c r="BI207" s="383">
        <v>19</v>
      </c>
      <c r="BK207" s="147" t="str">
        <f>IF(R207=SUM(Z207,AH207,AP207,AX207,BF207),"○","×")</f>
        <v>○</v>
      </c>
    </row>
    <row r="208" spans="1:63" x14ac:dyDescent="0.2">
      <c r="A208" s="428">
        <v>1397</v>
      </c>
      <c r="B208" s="429"/>
      <c r="C208" s="430"/>
      <c r="D208" s="429"/>
      <c r="E208" s="430"/>
      <c r="F208" s="429"/>
      <c r="G208" s="429"/>
      <c r="H208" s="430"/>
      <c r="I208" s="429"/>
      <c r="J208" s="429"/>
      <c r="K208" s="429"/>
      <c r="L208" s="383"/>
      <c r="M208" s="383" t="s">
        <v>569</v>
      </c>
      <c r="N208" s="383" t="s">
        <v>340</v>
      </c>
      <c r="O208" s="383" t="s">
        <v>333</v>
      </c>
      <c r="P208" s="383" t="s">
        <v>970</v>
      </c>
      <c r="Q208" s="383"/>
      <c r="R208" s="431">
        <v>91000</v>
      </c>
      <c r="S208" s="158">
        <v>0</v>
      </c>
      <c r="T208" s="158">
        <v>0</v>
      </c>
      <c r="U208" s="158">
        <v>0</v>
      </c>
      <c r="V208" s="158">
        <v>0</v>
      </c>
      <c r="W208" s="158">
        <v>0</v>
      </c>
      <c r="X208" s="158">
        <v>0</v>
      </c>
      <c r="Y208" s="158">
        <v>0</v>
      </c>
      <c r="Z208" s="158">
        <v>0</v>
      </c>
      <c r="AA208" s="432">
        <v>0</v>
      </c>
      <c r="AB208" s="432">
        <v>0</v>
      </c>
      <c r="AC208" s="432">
        <v>0</v>
      </c>
      <c r="AD208" s="432">
        <v>0</v>
      </c>
      <c r="AE208" s="432">
        <v>0</v>
      </c>
      <c r="AF208" s="432">
        <v>0</v>
      </c>
      <c r="AG208" s="432">
        <v>0</v>
      </c>
      <c r="AH208" s="432">
        <v>0</v>
      </c>
      <c r="AI208" s="158">
        <v>91982</v>
      </c>
      <c r="AJ208" s="158">
        <v>0</v>
      </c>
      <c r="AK208" s="158">
        <v>91982</v>
      </c>
      <c r="AL208" s="158">
        <v>91982</v>
      </c>
      <c r="AM208" s="158">
        <v>1425600</v>
      </c>
      <c r="AN208" s="158">
        <v>91982</v>
      </c>
      <c r="AO208" s="158">
        <v>91982</v>
      </c>
      <c r="AP208" s="158">
        <v>91000</v>
      </c>
      <c r="AQ208" s="432">
        <v>0</v>
      </c>
      <c r="AR208" s="432">
        <v>0</v>
      </c>
      <c r="AS208" s="432">
        <v>0</v>
      </c>
      <c r="AT208" s="432">
        <v>0</v>
      </c>
      <c r="AU208" s="432">
        <v>0</v>
      </c>
      <c r="AV208" s="432">
        <v>0</v>
      </c>
      <c r="AW208" s="432">
        <v>0</v>
      </c>
      <c r="AX208" s="432">
        <v>0</v>
      </c>
      <c r="AY208" s="158">
        <v>0</v>
      </c>
      <c r="AZ208" s="158">
        <v>0</v>
      </c>
      <c r="BA208" s="158">
        <v>0</v>
      </c>
      <c r="BB208" s="158">
        <v>0</v>
      </c>
      <c r="BC208" s="158">
        <v>0</v>
      </c>
      <c r="BD208" s="158">
        <v>0</v>
      </c>
      <c r="BE208" s="158">
        <v>0</v>
      </c>
      <c r="BF208" s="160">
        <v>0</v>
      </c>
      <c r="BG208" s="383">
        <v>2023</v>
      </c>
      <c r="BH208" s="383">
        <v>1</v>
      </c>
      <c r="BI208" s="383">
        <v>19</v>
      </c>
      <c r="BK208" s="147" t="str">
        <f>IF(R208=SUM(Z208,AH208,AP208,AX208,BF208),"○","×")</f>
        <v>○</v>
      </c>
    </row>
    <row r="209" spans="1:63" x14ac:dyDescent="0.2">
      <c r="A209" s="428">
        <v>1398</v>
      </c>
      <c r="B209" s="429"/>
      <c r="C209" s="430"/>
      <c r="D209" s="429"/>
      <c r="E209" s="430"/>
      <c r="F209" s="429"/>
      <c r="G209" s="429"/>
      <c r="H209" s="430"/>
      <c r="I209" s="429"/>
      <c r="J209" s="429"/>
      <c r="K209" s="429"/>
      <c r="L209" s="383"/>
      <c r="M209" s="383" t="s">
        <v>342</v>
      </c>
      <c r="N209" s="383" t="s">
        <v>343</v>
      </c>
      <c r="O209" s="383" t="s">
        <v>344</v>
      </c>
      <c r="P209" s="383" t="s">
        <v>970</v>
      </c>
      <c r="Q209" s="383"/>
      <c r="R209" s="431">
        <v>110000</v>
      </c>
      <c r="S209" s="158">
        <v>0</v>
      </c>
      <c r="T209" s="158">
        <v>0</v>
      </c>
      <c r="U209" s="158">
        <v>0</v>
      </c>
      <c r="V209" s="158">
        <v>0</v>
      </c>
      <c r="W209" s="158">
        <v>0</v>
      </c>
      <c r="X209" s="158">
        <v>0</v>
      </c>
      <c r="Y209" s="158">
        <v>0</v>
      </c>
      <c r="Z209" s="158">
        <v>0</v>
      </c>
      <c r="AA209" s="432">
        <v>0</v>
      </c>
      <c r="AB209" s="432">
        <v>0</v>
      </c>
      <c r="AC209" s="432">
        <v>0</v>
      </c>
      <c r="AD209" s="432">
        <v>0</v>
      </c>
      <c r="AE209" s="432">
        <v>0</v>
      </c>
      <c r="AF209" s="432">
        <v>0</v>
      </c>
      <c r="AG209" s="432">
        <v>0</v>
      </c>
      <c r="AH209" s="432">
        <v>0</v>
      </c>
      <c r="AI209" s="158">
        <v>110278</v>
      </c>
      <c r="AJ209" s="158">
        <v>0</v>
      </c>
      <c r="AK209" s="158">
        <v>110278</v>
      </c>
      <c r="AL209" s="158">
        <v>110278</v>
      </c>
      <c r="AM209" s="158">
        <v>864000</v>
      </c>
      <c r="AN209" s="158">
        <v>110278</v>
      </c>
      <c r="AO209" s="158">
        <v>110278</v>
      </c>
      <c r="AP209" s="158">
        <v>110000</v>
      </c>
      <c r="AQ209" s="432">
        <v>0</v>
      </c>
      <c r="AR209" s="432">
        <v>0</v>
      </c>
      <c r="AS209" s="432">
        <v>0</v>
      </c>
      <c r="AT209" s="432">
        <v>0</v>
      </c>
      <c r="AU209" s="432">
        <v>0</v>
      </c>
      <c r="AV209" s="432">
        <v>0</v>
      </c>
      <c r="AW209" s="432">
        <v>0</v>
      </c>
      <c r="AX209" s="432">
        <v>0</v>
      </c>
      <c r="AY209" s="158">
        <v>0</v>
      </c>
      <c r="AZ209" s="158">
        <v>0</v>
      </c>
      <c r="BA209" s="158">
        <v>0</v>
      </c>
      <c r="BB209" s="158">
        <v>0</v>
      </c>
      <c r="BC209" s="158">
        <v>0</v>
      </c>
      <c r="BD209" s="158">
        <v>0</v>
      </c>
      <c r="BE209" s="158">
        <v>0</v>
      </c>
      <c r="BF209" s="160">
        <v>0</v>
      </c>
      <c r="BG209" s="383">
        <v>2023</v>
      </c>
      <c r="BH209" s="383">
        <v>1</v>
      </c>
      <c r="BI209" s="383">
        <v>19</v>
      </c>
      <c r="BK209" s="147" t="str">
        <f>IF(R209=SUM(Z209,AH209,AP209,AX209,BF209),"○","×")</f>
        <v>○</v>
      </c>
    </row>
    <row r="210" spans="1:63" x14ac:dyDescent="0.2">
      <c r="A210" s="428">
        <v>1399</v>
      </c>
      <c r="B210" s="429"/>
      <c r="C210" s="430"/>
      <c r="D210" s="429"/>
      <c r="E210" s="430"/>
      <c r="F210" s="429"/>
      <c r="G210" s="429"/>
      <c r="H210" s="430"/>
      <c r="I210" s="429"/>
      <c r="J210" s="429"/>
      <c r="K210" s="429"/>
      <c r="L210" s="383"/>
      <c r="M210" s="383" t="s">
        <v>647</v>
      </c>
      <c r="N210" s="383" t="s">
        <v>332</v>
      </c>
      <c r="O210" s="383" t="s">
        <v>437</v>
      </c>
      <c r="P210" s="383" t="s">
        <v>970</v>
      </c>
      <c r="Q210" s="383"/>
      <c r="R210" s="431">
        <v>376000</v>
      </c>
      <c r="S210" s="158">
        <v>0</v>
      </c>
      <c r="T210" s="158">
        <v>0</v>
      </c>
      <c r="U210" s="158">
        <v>0</v>
      </c>
      <c r="V210" s="158">
        <v>0</v>
      </c>
      <c r="W210" s="158">
        <v>0</v>
      </c>
      <c r="X210" s="158">
        <v>0</v>
      </c>
      <c r="Y210" s="158">
        <v>0</v>
      </c>
      <c r="Z210" s="158">
        <v>0</v>
      </c>
      <c r="AA210" s="432">
        <v>0</v>
      </c>
      <c r="AB210" s="432">
        <v>0</v>
      </c>
      <c r="AC210" s="432">
        <v>0</v>
      </c>
      <c r="AD210" s="432">
        <v>0</v>
      </c>
      <c r="AE210" s="432">
        <v>0</v>
      </c>
      <c r="AF210" s="432">
        <v>0</v>
      </c>
      <c r="AG210" s="432">
        <v>0</v>
      </c>
      <c r="AH210" s="432">
        <v>0</v>
      </c>
      <c r="AI210" s="158">
        <v>376770</v>
      </c>
      <c r="AJ210" s="158">
        <v>0</v>
      </c>
      <c r="AK210" s="158">
        <v>376770</v>
      </c>
      <c r="AL210" s="158">
        <v>376770</v>
      </c>
      <c r="AM210" s="158">
        <v>6480000</v>
      </c>
      <c r="AN210" s="158">
        <v>376770</v>
      </c>
      <c r="AO210" s="158">
        <v>376770</v>
      </c>
      <c r="AP210" s="158">
        <v>376000</v>
      </c>
      <c r="AQ210" s="432">
        <v>0</v>
      </c>
      <c r="AR210" s="432">
        <v>0</v>
      </c>
      <c r="AS210" s="432">
        <v>0</v>
      </c>
      <c r="AT210" s="432">
        <v>0</v>
      </c>
      <c r="AU210" s="432">
        <v>0</v>
      </c>
      <c r="AV210" s="432">
        <v>0</v>
      </c>
      <c r="AW210" s="432">
        <v>0</v>
      </c>
      <c r="AX210" s="432">
        <v>0</v>
      </c>
      <c r="AY210" s="158">
        <v>0</v>
      </c>
      <c r="AZ210" s="158">
        <v>0</v>
      </c>
      <c r="BA210" s="158">
        <v>0</v>
      </c>
      <c r="BB210" s="158">
        <v>0</v>
      </c>
      <c r="BC210" s="158">
        <v>0</v>
      </c>
      <c r="BD210" s="158">
        <v>0</v>
      </c>
      <c r="BE210" s="158">
        <v>0</v>
      </c>
      <c r="BF210" s="160">
        <v>0</v>
      </c>
      <c r="BG210" s="383">
        <v>2023</v>
      </c>
      <c r="BH210" s="383">
        <v>1</v>
      </c>
      <c r="BI210" s="383">
        <v>19</v>
      </c>
      <c r="BK210" s="147" t="str">
        <f>IF(R210=SUM(Z210,AH210,AP210,AX210,BF210),"○","×")</f>
        <v>○</v>
      </c>
    </row>
    <row r="211" spans="1:63" x14ac:dyDescent="0.2">
      <c r="A211" s="428">
        <v>1400</v>
      </c>
      <c r="B211" s="429"/>
      <c r="C211" s="430"/>
      <c r="D211" s="429"/>
      <c r="E211" s="430"/>
      <c r="F211" s="429"/>
      <c r="G211" s="429"/>
      <c r="H211" s="430"/>
      <c r="I211" s="429"/>
      <c r="J211" s="429"/>
      <c r="K211" s="429"/>
      <c r="L211" s="383"/>
      <c r="M211" s="383" t="s">
        <v>461</v>
      </c>
      <c r="N211" s="383" t="s">
        <v>323</v>
      </c>
      <c r="O211" s="383" t="s">
        <v>462</v>
      </c>
      <c r="P211" s="383" t="s">
        <v>970</v>
      </c>
      <c r="Q211" s="383"/>
      <c r="R211" s="431">
        <v>371000</v>
      </c>
      <c r="S211" s="158">
        <v>0</v>
      </c>
      <c r="T211" s="158">
        <v>0</v>
      </c>
      <c r="U211" s="158">
        <v>0</v>
      </c>
      <c r="V211" s="158">
        <v>0</v>
      </c>
      <c r="W211" s="158">
        <v>0</v>
      </c>
      <c r="X211" s="158">
        <v>0</v>
      </c>
      <c r="Y211" s="158">
        <v>0</v>
      </c>
      <c r="Z211" s="158">
        <v>0</v>
      </c>
      <c r="AA211" s="432">
        <v>0</v>
      </c>
      <c r="AB211" s="432">
        <v>0</v>
      </c>
      <c r="AC211" s="432">
        <v>0</v>
      </c>
      <c r="AD211" s="432">
        <v>0</v>
      </c>
      <c r="AE211" s="432">
        <v>0</v>
      </c>
      <c r="AF211" s="432">
        <v>0</v>
      </c>
      <c r="AG211" s="432">
        <v>0</v>
      </c>
      <c r="AH211" s="432">
        <v>0</v>
      </c>
      <c r="AI211" s="158">
        <v>371740</v>
      </c>
      <c r="AJ211" s="158">
        <v>0</v>
      </c>
      <c r="AK211" s="158">
        <v>371740</v>
      </c>
      <c r="AL211" s="158">
        <v>371740</v>
      </c>
      <c r="AM211" s="158">
        <v>2592000</v>
      </c>
      <c r="AN211" s="158">
        <v>371740</v>
      </c>
      <c r="AO211" s="158">
        <v>371740</v>
      </c>
      <c r="AP211" s="158">
        <v>371000</v>
      </c>
      <c r="AQ211" s="432">
        <v>0</v>
      </c>
      <c r="AR211" s="432">
        <v>0</v>
      </c>
      <c r="AS211" s="432">
        <v>0</v>
      </c>
      <c r="AT211" s="432">
        <v>0</v>
      </c>
      <c r="AU211" s="432">
        <v>0</v>
      </c>
      <c r="AV211" s="432">
        <v>0</v>
      </c>
      <c r="AW211" s="432">
        <v>0</v>
      </c>
      <c r="AX211" s="432">
        <v>0</v>
      </c>
      <c r="AY211" s="158">
        <v>0</v>
      </c>
      <c r="AZ211" s="158">
        <v>0</v>
      </c>
      <c r="BA211" s="158">
        <v>0</v>
      </c>
      <c r="BB211" s="158">
        <v>0</v>
      </c>
      <c r="BC211" s="158">
        <v>0</v>
      </c>
      <c r="BD211" s="158">
        <v>0</v>
      </c>
      <c r="BE211" s="158">
        <v>0</v>
      </c>
      <c r="BF211" s="160">
        <v>0</v>
      </c>
      <c r="BG211" s="383">
        <v>2023</v>
      </c>
      <c r="BH211" s="383">
        <v>1</v>
      </c>
      <c r="BI211" s="383">
        <v>19</v>
      </c>
      <c r="BK211" s="147" t="str">
        <f>IF(R211=SUM(Z211,AH211,AP211,AX211,BF211),"○","×")</f>
        <v>○</v>
      </c>
    </row>
    <row r="212" spans="1:63" x14ac:dyDescent="0.2">
      <c r="A212" s="428">
        <v>1401</v>
      </c>
      <c r="B212" s="429"/>
      <c r="C212" s="430"/>
      <c r="D212" s="429"/>
      <c r="E212" s="430"/>
      <c r="F212" s="429"/>
      <c r="G212" s="429"/>
      <c r="H212" s="430"/>
      <c r="I212" s="429"/>
      <c r="J212" s="429"/>
      <c r="K212" s="429"/>
      <c r="L212" s="383"/>
      <c r="M212" s="383" t="s">
        <v>648</v>
      </c>
      <c r="N212" s="383" t="s">
        <v>356</v>
      </c>
      <c r="O212" s="383" t="s">
        <v>361</v>
      </c>
      <c r="P212" s="383" t="s">
        <v>970</v>
      </c>
      <c r="Q212" s="146"/>
      <c r="R212" s="431">
        <v>918000</v>
      </c>
      <c r="S212" s="158">
        <v>0</v>
      </c>
      <c r="T212" s="158">
        <v>0</v>
      </c>
      <c r="U212" s="158">
        <v>0</v>
      </c>
      <c r="V212" s="158">
        <v>0</v>
      </c>
      <c r="W212" s="158">
        <v>0</v>
      </c>
      <c r="X212" s="158">
        <v>0</v>
      </c>
      <c r="Y212" s="158">
        <v>0</v>
      </c>
      <c r="Z212" s="158">
        <v>0</v>
      </c>
      <c r="AA212" s="432">
        <v>0</v>
      </c>
      <c r="AB212" s="432">
        <v>0</v>
      </c>
      <c r="AC212" s="432">
        <v>0</v>
      </c>
      <c r="AD212" s="432">
        <v>0</v>
      </c>
      <c r="AE212" s="432">
        <v>0</v>
      </c>
      <c r="AF212" s="432">
        <v>0</v>
      </c>
      <c r="AG212" s="432">
        <v>0</v>
      </c>
      <c r="AH212" s="432">
        <v>0</v>
      </c>
      <c r="AI212" s="158">
        <v>918240</v>
      </c>
      <c r="AJ212" s="158">
        <v>0</v>
      </c>
      <c r="AK212" s="158">
        <v>918240</v>
      </c>
      <c r="AL212" s="158">
        <v>918240</v>
      </c>
      <c r="AM212" s="158">
        <v>1044000</v>
      </c>
      <c r="AN212" s="158">
        <v>918240</v>
      </c>
      <c r="AO212" s="158">
        <v>918240</v>
      </c>
      <c r="AP212" s="158">
        <v>918000</v>
      </c>
      <c r="AQ212" s="432">
        <v>0</v>
      </c>
      <c r="AR212" s="432">
        <v>0</v>
      </c>
      <c r="AS212" s="432">
        <v>0</v>
      </c>
      <c r="AT212" s="432">
        <v>0</v>
      </c>
      <c r="AU212" s="432">
        <v>0</v>
      </c>
      <c r="AV212" s="432">
        <v>0</v>
      </c>
      <c r="AW212" s="432">
        <v>0</v>
      </c>
      <c r="AX212" s="432">
        <v>0</v>
      </c>
      <c r="AY212" s="158">
        <v>0</v>
      </c>
      <c r="AZ212" s="158">
        <v>0</v>
      </c>
      <c r="BA212" s="158">
        <v>0</v>
      </c>
      <c r="BB212" s="158">
        <v>0</v>
      </c>
      <c r="BC212" s="158">
        <v>0</v>
      </c>
      <c r="BD212" s="158">
        <v>0</v>
      </c>
      <c r="BE212" s="158">
        <v>0</v>
      </c>
      <c r="BF212" s="160">
        <v>0</v>
      </c>
      <c r="BG212" s="383">
        <v>2023</v>
      </c>
      <c r="BH212" s="383">
        <v>1</v>
      </c>
      <c r="BI212" s="383">
        <v>19</v>
      </c>
      <c r="BK212" s="147" t="str">
        <f>IF(R212=SUM(Z212,AH212,AP212,AX212,BF212),"○","×")</f>
        <v>○</v>
      </c>
    </row>
    <row r="213" spans="1:63" x14ac:dyDescent="0.2">
      <c r="A213" s="428">
        <v>1402</v>
      </c>
      <c r="B213" s="429"/>
      <c r="C213" s="430"/>
      <c r="D213" s="429"/>
      <c r="E213" s="430"/>
      <c r="F213" s="429"/>
      <c r="G213" s="429"/>
      <c r="H213" s="430"/>
      <c r="I213" s="429"/>
      <c r="J213" s="429"/>
      <c r="K213" s="429"/>
      <c r="L213" s="383"/>
      <c r="M213" s="383" t="s">
        <v>649</v>
      </c>
      <c r="N213" s="383" t="s">
        <v>329</v>
      </c>
      <c r="O213" s="383" t="s">
        <v>650</v>
      </c>
      <c r="P213" s="383" t="s">
        <v>970</v>
      </c>
      <c r="Q213" s="383"/>
      <c r="R213" s="431">
        <v>96000</v>
      </c>
      <c r="S213" s="158">
        <v>0</v>
      </c>
      <c r="T213" s="158">
        <v>0</v>
      </c>
      <c r="U213" s="158">
        <v>0</v>
      </c>
      <c r="V213" s="158">
        <v>0</v>
      </c>
      <c r="W213" s="158">
        <v>0</v>
      </c>
      <c r="X213" s="158">
        <v>0</v>
      </c>
      <c r="Y213" s="158">
        <v>0</v>
      </c>
      <c r="Z213" s="158">
        <v>0</v>
      </c>
      <c r="AA213" s="432">
        <v>0</v>
      </c>
      <c r="AB213" s="432">
        <v>0</v>
      </c>
      <c r="AC213" s="432">
        <v>0</v>
      </c>
      <c r="AD213" s="432">
        <v>0</v>
      </c>
      <c r="AE213" s="432">
        <v>0</v>
      </c>
      <c r="AF213" s="432">
        <v>0</v>
      </c>
      <c r="AG213" s="432">
        <v>0</v>
      </c>
      <c r="AH213" s="432">
        <v>0</v>
      </c>
      <c r="AI213" s="158">
        <v>96360</v>
      </c>
      <c r="AJ213" s="158">
        <v>0</v>
      </c>
      <c r="AK213" s="158">
        <v>96360</v>
      </c>
      <c r="AL213" s="158">
        <v>96360</v>
      </c>
      <c r="AM213" s="158">
        <v>4089600</v>
      </c>
      <c r="AN213" s="158">
        <v>96360</v>
      </c>
      <c r="AO213" s="158">
        <v>96360</v>
      </c>
      <c r="AP213" s="158">
        <v>96000</v>
      </c>
      <c r="AQ213" s="432">
        <v>0</v>
      </c>
      <c r="AR213" s="432">
        <v>0</v>
      </c>
      <c r="AS213" s="432">
        <v>0</v>
      </c>
      <c r="AT213" s="432">
        <v>0</v>
      </c>
      <c r="AU213" s="432">
        <v>0</v>
      </c>
      <c r="AV213" s="432">
        <v>0</v>
      </c>
      <c r="AW213" s="432">
        <v>0</v>
      </c>
      <c r="AX213" s="432">
        <v>0</v>
      </c>
      <c r="AY213" s="158">
        <v>0</v>
      </c>
      <c r="AZ213" s="158">
        <v>0</v>
      </c>
      <c r="BA213" s="158">
        <v>0</v>
      </c>
      <c r="BB213" s="158">
        <v>0</v>
      </c>
      <c r="BC213" s="158">
        <v>0</v>
      </c>
      <c r="BD213" s="158">
        <v>0</v>
      </c>
      <c r="BE213" s="158">
        <v>0</v>
      </c>
      <c r="BF213" s="160">
        <v>0</v>
      </c>
      <c r="BG213" s="383">
        <v>2023</v>
      </c>
      <c r="BH213" s="383">
        <v>1</v>
      </c>
      <c r="BI213" s="383">
        <v>19</v>
      </c>
      <c r="BK213" s="147" t="str">
        <f>IF(R213=SUM(Z213,AH213,AP213,AX213,BF213),"○","×")</f>
        <v>○</v>
      </c>
    </row>
    <row r="214" spans="1:63" x14ac:dyDescent="0.2">
      <c r="A214" s="428">
        <v>1403</v>
      </c>
      <c r="B214" s="429"/>
      <c r="C214" s="430"/>
      <c r="D214" s="429"/>
      <c r="E214" s="430"/>
      <c r="F214" s="429"/>
      <c r="G214" s="429"/>
      <c r="H214" s="430"/>
      <c r="I214" s="429"/>
      <c r="J214" s="429"/>
      <c r="K214" s="429"/>
      <c r="L214" s="383"/>
      <c r="M214" s="383" t="s">
        <v>651</v>
      </c>
      <c r="N214" s="383" t="s">
        <v>408</v>
      </c>
      <c r="O214" s="383" t="s">
        <v>652</v>
      </c>
      <c r="P214" s="383" t="s">
        <v>970</v>
      </c>
      <c r="Q214" s="383"/>
      <c r="R214" s="431">
        <v>296000</v>
      </c>
      <c r="S214" s="158">
        <v>0</v>
      </c>
      <c r="T214" s="158">
        <v>0</v>
      </c>
      <c r="U214" s="158">
        <v>0</v>
      </c>
      <c r="V214" s="158">
        <v>0</v>
      </c>
      <c r="W214" s="158">
        <v>0</v>
      </c>
      <c r="X214" s="158">
        <v>0</v>
      </c>
      <c r="Y214" s="158">
        <v>0</v>
      </c>
      <c r="Z214" s="158">
        <v>0</v>
      </c>
      <c r="AA214" s="432">
        <v>0</v>
      </c>
      <c r="AB214" s="432">
        <v>0</v>
      </c>
      <c r="AC214" s="432">
        <v>0</v>
      </c>
      <c r="AD214" s="432">
        <v>0</v>
      </c>
      <c r="AE214" s="432">
        <v>0</v>
      </c>
      <c r="AF214" s="432">
        <v>0</v>
      </c>
      <c r="AG214" s="432">
        <v>0</v>
      </c>
      <c r="AH214" s="432">
        <v>0</v>
      </c>
      <c r="AI214" s="158">
        <v>296610</v>
      </c>
      <c r="AJ214" s="158">
        <v>0</v>
      </c>
      <c r="AK214" s="158">
        <v>296610</v>
      </c>
      <c r="AL214" s="158">
        <v>296610</v>
      </c>
      <c r="AM214" s="158">
        <v>2178000</v>
      </c>
      <c r="AN214" s="158">
        <v>296610</v>
      </c>
      <c r="AO214" s="158">
        <v>296610</v>
      </c>
      <c r="AP214" s="158">
        <v>296000</v>
      </c>
      <c r="AQ214" s="432">
        <v>0</v>
      </c>
      <c r="AR214" s="432">
        <v>0</v>
      </c>
      <c r="AS214" s="432">
        <v>0</v>
      </c>
      <c r="AT214" s="432">
        <v>0</v>
      </c>
      <c r="AU214" s="432">
        <v>0</v>
      </c>
      <c r="AV214" s="432">
        <v>0</v>
      </c>
      <c r="AW214" s="432">
        <v>0</v>
      </c>
      <c r="AX214" s="432">
        <v>0</v>
      </c>
      <c r="AY214" s="158">
        <v>0</v>
      </c>
      <c r="AZ214" s="158">
        <v>0</v>
      </c>
      <c r="BA214" s="158">
        <v>0</v>
      </c>
      <c r="BB214" s="158">
        <v>0</v>
      </c>
      <c r="BC214" s="158">
        <v>0</v>
      </c>
      <c r="BD214" s="158">
        <v>0</v>
      </c>
      <c r="BE214" s="158">
        <v>0</v>
      </c>
      <c r="BF214" s="160">
        <v>0</v>
      </c>
      <c r="BG214" s="383">
        <v>2023</v>
      </c>
      <c r="BH214" s="383">
        <v>1</v>
      </c>
      <c r="BI214" s="383">
        <v>19</v>
      </c>
      <c r="BK214" s="147" t="str">
        <f>IF(R214=SUM(Z214,AH214,AP214,AX214,BF214),"○","×")</f>
        <v>○</v>
      </c>
    </row>
    <row r="215" spans="1:63" x14ac:dyDescent="0.2">
      <c r="A215" s="428">
        <v>1404</v>
      </c>
      <c r="B215" s="429"/>
      <c r="C215" s="430"/>
      <c r="D215" s="429"/>
      <c r="E215" s="430"/>
      <c r="F215" s="429"/>
      <c r="G215" s="429"/>
      <c r="H215" s="430"/>
      <c r="I215" s="429"/>
      <c r="J215" s="429"/>
      <c r="K215" s="429"/>
      <c r="L215" s="383"/>
      <c r="M215" s="383" t="s">
        <v>403</v>
      </c>
      <c r="N215" s="383" t="s">
        <v>372</v>
      </c>
      <c r="O215" s="383" t="s">
        <v>404</v>
      </c>
      <c r="P215" s="383" t="s">
        <v>970</v>
      </c>
      <c r="Q215" s="383"/>
      <c r="R215" s="431">
        <v>14000</v>
      </c>
      <c r="S215" s="158">
        <v>0</v>
      </c>
      <c r="T215" s="158">
        <v>0</v>
      </c>
      <c r="U215" s="158">
        <v>0</v>
      </c>
      <c r="V215" s="158">
        <v>0</v>
      </c>
      <c r="W215" s="158">
        <v>0</v>
      </c>
      <c r="X215" s="158">
        <v>0</v>
      </c>
      <c r="Y215" s="158">
        <v>0</v>
      </c>
      <c r="Z215" s="158">
        <v>0</v>
      </c>
      <c r="AA215" s="432">
        <v>0</v>
      </c>
      <c r="AB215" s="432">
        <v>0</v>
      </c>
      <c r="AC215" s="432">
        <v>0</v>
      </c>
      <c r="AD215" s="432">
        <v>0</v>
      </c>
      <c r="AE215" s="432">
        <v>0</v>
      </c>
      <c r="AF215" s="432">
        <v>0</v>
      </c>
      <c r="AG215" s="432">
        <v>0</v>
      </c>
      <c r="AH215" s="432">
        <v>0</v>
      </c>
      <c r="AI215" s="158">
        <v>14760</v>
      </c>
      <c r="AJ215" s="158">
        <v>0</v>
      </c>
      <c r="AK215" s="158">
        <v>14760</v>
      </c>
      <c r="AL215" s="158">
        <v>14760</v>
      </c>
      <c r="AM215" s="158">
        <v>2574000</v>
      </c>
      <c r="AN215" s="158">
        <v>14760</v>
      </c>
      <c r="AO215" s="158">
        <v>14760</v>
      </c>
      <c r="AP215" s="158">
        <v>14000</v>
      </c>
      <c r="AQ215" s="432">
        <v>0</v>
      </c>
      <c r="AR215" s="432">
        <v>0</v>
      </c>
      <c r="AS215" s="432">
        <v>0</v>
      </c>
      <c r="AT215" s="432">
        <v>0</v>
      </c>
      <c r="AU215" s="432">
        <v>0</v>
      </c>
      <c r="AV215" s="432">
        <v>0</v>
      </c>
      <c r="AW215" s="432">
        <v>0</v>
      </c>
      <c r="AX215" s="432">
        <v>0</v>
      </c>
      <c r="AY215" s="158">
        <v>0</v>
      </c>
      <c r="AZ215" s="158">
        <v>0</v>
      </c>
      <c r="BA215" s="158">
        <v>0</v>
      </c>
      <c r="BB215" s="158">
        <v>0</v>
      </c>
      <c r="BC215" s="158">
        <v>0</v>
      </c>
      <c r="BD215" s="158">
        <v>0</v>
      </c>
      <c r="BE215" s="158">
        <v>0</v>
      </c>
      <c r="BF215" s="160">
        <v>0</v>
      </c>
      <c r="BG215" s="383">
        <v>2023</v>
      </c>
      <c r="BH215" s="383">
        <v>1</v>
      </c>
      <c r="BI215" s="383">
        <v>19</v>
      </c>
      <c r="BK215" s="147" t="str">
        <f>IF(R215=SUM(Z215,AH215,AP215,AX215,BF215),"○","×")</f>
        <v>○</v>
      </c>
    </row>
    <row r="216" spans="1:63" x14ac:dyDescent="0.2">
      <c r="A216" s="428">
        <v>1405</v>
      </c>
      <c r="B216" s="429"/>
      <c r="C216" s="430"/>
      <c r="D216" s="429"/>
      <c r="E216" s="430"/>
      <c r="F216" s="429"/>
      <c r="G216" s="429"/>
      <c r="H216" s="430"/>
      <c r="I216" s="429"/>
      <c r="J216" s="429"/>
      <c r="K216" s="429"/>
      <c r="L216" s="383"/>
      <c r="M216" s="383" t="s">
        <v>552</v>
      </c>
      <c r="N216" s="383" t="s">
        <v>353</v>
      </c>
      <c r="O216" s="383" t="s">
        <v>346</v>
      </c>
      <c r="P216" s="383" t="s">
        <v>970</v>
      </c>
      <c r="Q216" s="383"/>
      <c r="R216" s="431">
        <v>100000</v>
      </c>
      <c r="S216" s="158">
        <v>0</v>
      </c>
      <c r="T216" s="158">
        <v>0</v>
      </c>
      <c r="U216" s="158">
        <v>0</v>
      </c>
      <c r="V216" s="158">
        <v>0</v>
      </c>
      <c r="W216" s="158">
        <v>0</v>
      </c>
      <c r="X216" s="158">
        <v>0</v>
      </c>
      <c r="Y216" s="158">
        <v>0</v>
      </c>
      <c r="Z216" s="158">
        <v>0</v>
      </c>
      <c r="AA216" s="432">
        <v>0</v>
      </c>
      <c r="AB216" s="432">
        <v>0</v>
      </c>
      <c r="AC216" s="432">
        <v>0</v>
      </c>
      <c r="AD216" s="432">
        <v>0</v>
      </c>
      <c r="AE216" s="432">
        <v>0</v>
      </c>
      <c r="AF216" s="432">
        <v>0</v>
      </c>
      <c r="AG216" s="432">
        <v>0</v>
      </c>
      <c r="AH216" s="432">
        <v>0</v>
      </c>
      <c r="AI216" s="158">
        <v>100255</v>
      </c>
      <c r="AJ216" s="158">
        <v>0</v>
      </c>
      <c r="AK216" s="158">
        <v>100255</v>
      </c>
      <c r="AL216" s="158">
        <v>100255</v>
      </c>
      <c r="AM216" s="158">
        <v>7128000</v>
      </c>
      <c r="AN216" s="158">
        <v>100255</v>
      </c>
      <c r="AO216" s="158">
        <v>100255</v>
      </c>
      <c r="AP216" s="158">
        <v>100000</v>
      </c>
      <c r="AQ216" s="432">
        <v>0</v>
      </c>
      <c r="AR216" s="432">
        <v>0</v>
      </c>
      <c r="AS216" s="432">
        <v>0</v>
      </c>
      <c r="AT216" s="432">
        <v>0</v>
      </c>
      <c r="AU216" s="432">
        <v>0</v>
      </c>
      <c r="AV216" s="432">
        <v>0</v>
      </c>
      <c r="AW216" s="432">
        <v>0</v>
      </c>
      <c r="AX216" s="432">
        <v>0</v>
      </c>
      <c r="AY216" s="158">
        <v>0</v>
      </c>
      <c r="AZ216" s="158">
        <v>0</v>
      </c>
      <c r="BA216" s="158">
        <v>0</v>
      </c>
      <c r="BB216" s="158">
        <v>0</v>
      </c>
      <c r="BC216" s="158">
        <v>0</v>
      </c>
      <c r="BD216" s="158">
        <v>0</v>
      </c>
      <c r="BE216" s="158">
        <v>0</v>
      </c>
      <c r="BF216" s="160">
        <v>0</v>
      </c>
      <c r="BG216" s="383">
        <v>2023</v>
      </c>
      <c r="BH216" s="383">
        <v>1</v>
      </c>
      <c r="BI216" s="383">
        <v>19</v>
      </c>
      <c r="BK216" s="147" t="str">
        <f>IF(R216=SUM(Z216,AH216,AP216,AX216,BF216),"○","×")</f>
        <v>○</v>
      </c>
    </row>
    <row r="217" spans="1:63" x14ac:dyDescent="0.2">
      <c r="A217" s="428">
        <v>1406</v>
      </c>
      <c r="B217" s="429"/>
      <c r="C217" s="430"/>
      <c r="D217" s="429"/>
      <c r="E217" s="430"/>
      <c r="F217" s="429"/>
      <c r="G217" s="429"/>
      <c r="H217" s="430"/>
      <c r="I217" s="429"/>
      <c r="J217" s="429"/>
      <c r="K217" s="429"/>
      <c r="L217" s="383"/>
      <c r="M217" s="383" t="s">
        <v>653</v>
      </c>
      <c r="N217" s="383" t="s">
        <v>326</v>
      </c>
      <c r="O217" s="383" t="s">
        <v>654</v>
      </c>
      <c r="P217" s="383" t="s">
        <v>970</v>
      </c>
      <c r="Q217" s="383"/>
      <c r="R217" s="431">
        <v>356000</v>
      </c>
      <c r="S217" s="158">
        <v>0</v>
      </c>
      <c r="T217" s="158">
        <v>0</v>
      </c>
      <c r="U217" s="158">
        <v>0</v>
      </c>
      <c r="V217" s="158">
        <v>0</v>
      </c>
      <c r="W217" s="158">
        <v>0</v>
      </c>
      <c r="X217" s="158">
        <v>0</v>
      </c>
      <c r="Y217" s="158">
        <v>0</v>
      </c>
      <c r="Z217" s="158">
        <v>0</v>
      </c>
      <c r="AA217" s="432">
        <v>0</v>
      </c>
      <c r="AB217" s="432">
        <v>0</v>
      </c>
      <c r="AC217" s="432">
        <v>0</v>
      </c>
      <c r="AD217" s="432">
        <v>0</v>
      </c>
      <c r="AE217" s="432">
        <v>0</v>
      </c>
      <c r="AF217" s="432">
        <v>0</v>
      </c>
      <c r="AG217" s="432">
        <v>0</v>
      </c>
      <c r="AH217" s="432">
        <v>0</v>
      </c>
      <c r="AI217" s="158">
        <v>356960</v>
      </c>
      <c r="AJ217" s="158">
        <v>0</v>
      </c>
      <c r="AK217" s="158">
        <v>356960</v>
      </c>
      <c r="AL217" s="158">
        <v>356960</v>
      </c>
      <c r="AM217" s="158">
        <v>1044000</v>
      </c>
      <c r="AN217" s="158">
        <v>356960</v>
      </c>
      <c r="AO217" s="158">
        <v>356960</v>
      </c>
      <c r="AP217" s="158">
        <v>356000</v>
      </c>
      <c r="AQ217" s="432">
        <v>0</v>
      </c>
      <c r="AR217" s="432">
        <v>0</v>
      </c>
      <c r="AS217" s="432">
        <v>0</v>
      </c>
      <c r="AT217" s="432">
        <v>0</v>
      </c>
      <c r="AU217" s="432">
        <v>0</v>
      </c>
      <c r="AV217" s="432">
        <v>0</v>
      </c>
      <c r="AW217" s="432">
        <v>0</v>
      </c>
      <c r="AX217" s="432">
        <v>0</v>
      </c>
      <c r="AY217" s="158">
        <v>0</v>
      </c>
      <c r="AZ217" s="158">
        <v>0</v>
      </c>
      <c r="BA217" s="158">
        <v>0</v>
      </c>
      <c r="BB217" s="158">
        <v>0</v>
      </c>
      <c r="BC217" s="158">
        <v>0</v>
      </c>
      <c r="BD217" s="158">
        <v>0</v>
      </c>
      <c r="BE217" s="158">
        <v>0</v>
      </c>
      <c r="BF217" s="160">
        <v>0</v>
      </c>
      <c r="BG217" s="383">
        <v>2023</v>
      </c>
      <c r="BH217" s="383">
        <v>1</v>
      </c>
      <c r="BI217" s="383">
        <v>19</v>
      </c>
      <c r="BK217" s="147" t="str">
        <f>IF(R217=SUM(Z217,AH217,AP217,AX217,BF217),"○","×")</f>
        <v>○</v>
      </c>
    </row>
    <row r="218" spans="1:63" x14ac:dyDescent="0.2">
      <c r="A218" s="428">
        <v>1407</v>
      </c>
      <c r="B218" s="429"/>
      <c r="C218" s="430"/>
      <c r="D218" s="429"/>
      <c r="E218" s="430"/>
      <c r="F218" s="429"/>
      <c r="G218" s="429"/>
      <c r="H218" s="430"/>
      <c r="I218" s="429"/>
      <c r="J218" s="429"/>
      <c r="K218" s="429"/>
      <c r="L218" s="383"/>
      <c r="M218" s="383" t="s">
        <v>420</v>
      </c>
      <c r="N218" s="383" t="s">
        <v>326</v>
      </c>
      <c r="O218" s="383" t="s">
        <v>421</v>
      </c>
      <c r="P218" s="383" t="s">
        <v>970</v>
      </c>
      <c r="Q218" s="383"/>
      <c r="R218" s="431">
        <v>794000</v>
      </c>
      <c r="S218" s="158">
        <v>0</v>
      </c>
      <c r="T218" s="158">
        <v>0</v>
      </c>
      <c r="U218" s="158">
        <v>0</v>
      </c>
      <c r="V218" s="158">
        <v>0</v>
      </c>
      <c r="W218" s="158">
        <v>0</v>
      </c>
      <c r="X218" s="158">
        <v>0</v>
      </c>
      <c r="Y218" s="158">
        <v>0</v>
      </c>
      <c r="Z218" s="158">
        <v>0</v>
      </c>
      <c r="AA218" s="432">
        <v>0</v>
      </c>
      <c r="AB218" s="432">
        <v>0</v>
      </c>
      <c r="AC218" s="432">
        <v>0</v>
      </c>
      <c r="AD218" s="432">
        <v>0</v>
      </c>
      <c r="AE218" s="432">
        <v>0</v>
      </c>
      <c r="AF218" s="432">
        <v>0</v>
      </c>
      <c r="AG218" s="432">
        <v>0</v>
      </c>
      <c r="AH218" s="432">
        <v>0</v>
      </c>
      <c r="AI218" s="158">
        <v>794640</v>
      </c>
      <c r="AJ218" s="158">
        <v>0</v>
      </c>
      <c r="AK218" s="158">
        <v>794640</v>
      </c>
      <c r="AL218" s="158">
        <v>794640</v>
      </c>
      <c r="AM218" s="158">
        <v>856800</v>
      </c>
      <c r="AN218" s="158">
        <v>794640</v>
      </c>
      <c r="AO218" s="158">
        <v>794640</v>
      </c>
      <c r="AP218" s="158">
        <v>794000</v>
      </c>
      <c r="AQ218" s="432">
        <v>0</v>
      </c>
      <c r="AR218" s="432">
        <v>0</v>
      </c>
      <c r="AS218" s="432">
        <v>0</v>
      </c>
      <c r="AT218" s="432">
        <v>0</v>
      </c>
      <c r="AU218" s="432">
        <v>0</v>
      </c>
      <c r="AV218" s="432">
        <v>0</v>
      </c>
      <c r="AW218" s="432">
        <v>0</v>
      </c>
      <c r="AX218" s="432">
        <v>0</v>
      </c>
      <c r="AY218" s="158">
        <v>0</v>
      </c>
      <c r="AZ218" s="158">
        <v>0</v>
      </c>
      <c r="BA218" s="158">
        <v>0</v>
      </c>
      <c r="BB218" s="158">
        <v>0</v>
      </c>
      <c r="BC218" s="158">
        <v>0</v>
      </c>
      <c r="BD218" s="158">
        <v>0</v>
      </c>
      <c r="BE218" s="158">
        <v>0</v>
      </c>
      <c r="BF218" s="160">
        <v>0</v>
      </c>
      <c r="BG218" s="383">
        <v>2023</v>
      </c>
      <c r="BH218" s="383">
        <v>1</v>
      </c>
      <c r="BI218" s="383">
        <v>19</v>
      </c>
      <c r="BK218" s="147" t="str">
        <f>IF(R218=SUM(Z218,AH218,AP218,AX218,BF218),"○","×")</f>
        <v>○</v>
      </c>
    </row>
    <row r="219" spans="1:63" x14ac:dyDescent="0.2">
      <c r="A219" s="428">
        <v>1408</v>
      </c>
      <c r="B219" s="429"/>
      <c r="C219" s="430"/>
      <c r="D219" s="429"/>
      <c r="E219" s="430"/>
      <c r="F219" s="429"/>
      <c r="G219" s="429"/>
      <c r="H219" s="430"/>
      <c r="I219" s="429"/>
      <c r="J219" s="429"/>
      <c r="K219" s="429"/>
      <c r="L219" s="383"/>
      <c r="M219" s="383" t="s">
        <v>655</v>
      </c>
      <c r="N219" s="383" t="s">
        <v>343</v>
      </c>
      <c r="O219" s="383" t="s">
        <v>336</v>
      </c>
      <c r="P219" s="383" t="s">
        <v>970</v>
      </c>
      <c r="Q219" s="383"/>
      <c r="R219" s="431">
        <v>1731000</v>
      </c>
      <c r="S219" s="158">
        <v>0</v>
      </c>
      <c r="T219" s="158">
        <v>0</v>
      </c>
      <c r="U219" s="158">
        <v>0</v>
      </c>
      <c r="V219" s="158">
        <v>0</v>
      </c>
      <c r="W219" s="158">
        <v>0</v>
      </c>
      <c r="X219" s="158">
        <v>0</v>
      </c>
      <c r="Y219" s="158">
        <v>0</v>
      </c>
      <c r="Z219" s="158">
        <v>0</v>
      </c>
      <c r="AA219" s="432">
        <v>0</v>
      </c>
      <c r="AB219" s="432">
        <v>0</v>
      </c>
      <c r="AC219" s="432">
        <v>0</v>
      </c>
      <c r="AD219" s="432">
        <v>0</v>
      </c>
      <c r="AE219" s="432">
        <v>0</v>
      </c>
      <c r="AF219" s="432">
        <v>0</v>
      </c>
      <c r="AG219" s="432">
        <v>0</v>
      </c>
      <c r="AH219" s="432">
        <v>0</v>
      </c>
      <c r="AI219" s="158">
        <v>1731959</v>
      </c>
      <c r="AJ219" s="158">
        <v>0</v>
      </c>
      <c r="AK219" s="158">
        <v>1731959</v>
      </c>
      <c r="AL219" s="158">
        <v>1731959</v>
      </c>
      <c r="AM219" s="158">
        <v>4320000</v>
      </c>
      <c r="AN219" s="158">
        <v>1731959</v>
      </c>
      <c r="AO219" s="158">
        <v>1731959</v>
      </c>
      <c r="AP219" s="158">
        <v>1731000</v>
      </c>
      <c r="AQ219" s="432">
        <v>0</v>
      </c>
      <c r="AR219" s="432">
        <v>0</v>
      </c>
      <c r="AS219" s="432">
        <v>0</v>
      </c>
      <c r="AT219" s="432">
        <v>0</v>
      </c>
      <c r="AU219" s="432">
        <v>0</v>
      </c>
      <c r="AV219" s="432">
        <v>0</v>
      </c>
      <c r="AW219" s="432">
        <v>0</v>
      </c>
      <c r="AX219" s="432">
        <v>0</v>
      </c>
      <c r="AY219" s="158">
        <v>0</v>
      </c>
      <c r="AZ219" s="158">
        <v>0</v>
      </c>
      <c r="BA219" s="158">
        <v>0</v>
      </c>
      <c r="BB219" s="158">
        <v>0</v>
      </c>
      <c r="BC219" s="158">
        <v>0</v>
      </c>
      <c r="BD219" s="158">
        <v>0</v>
      </c>
      <c r="BE219" s="158">
        <v>0</v>
      </c>
      <c r="BF219" s="160">
        <v>0</v>
      </c>
      <c r="BG219" s="383">
        <v>2023</v>
      </c>
      <c r="BH219" s="383">
        <v>1</v>
      </c>
      <c r="BI219" s="383">
        <v>19</v>
      </c>
      <c r="BK219" s="147" t="str">
        <f>IF(R219=SUM(Z219,AH219,AP219,AX219,BF219),"○","×")</f>
        <v>○</v>
      </c>
    </row>
    <row r="220" spans="1:63" x14ac:dyDescent="0.2">
      <c r="A220" s="428">
        <v>1409</v>
      </c>
      <c r="B220" s="429"/>
      <c r="C220" s="430"/>
      <c r="D220" s="429"/>
      <c r="E220" s="430"/>
      <c r="F220" s="429"/>
      <c r="G220" s="429"/>
      <c r="H220" s="430"/>
      <c r="I220" s="429"/>
      <c r="J220" s="429"/>
      <c r="K220" s="429"/>
      <c r="L220" s="383"/>
      <c r="M220" s="383" t="s">
        <v>656</v>
      </c>
      <c r="N220" s="383" t="s">
        <v>657</v>
      </c>
      <c r="O220" s="383" t="s">
        <v>658</v>
      </c>
      <c r="P220" s="383" t="s">
        <v>970</v>
      </c>
      <c r="Q220" s="383"/>
      <c r="R220" s="431">
        <v>368000</v>
      </c>
      <c r="S220" s="158">
        <v>0</v>
      </c>
      <c r="T220" s="158">
        <v>0</v>
      </c>
      <c r="U220" s="158">
        <v>0</v>
      </c>
      <c r="V220" s="158">
        <v>0</v>
      </c>
      <c r="W220" s="158">
        <v>0</v>
      </c>
      <c r="X220" s="158">
        <v>0</v>
      </c>
      <c r="Y220" s="158">
        <v>0</v>
      </c>
      <c r="Z220" s="158">
        <v>0</v>
      </c>
      <c r="AA220" s="432">
        <v>0</v>
      </c>
      <c r="AB220" s="432">
        <v>0</v>
      </c>
      <c r="AC220" s="432">
        <v>0</v>
      </c>
      <c r="AD220" s="432">
        <v>0</v>
      </c>
      <c r="AE220" s="432">
        <v>0</v>
      </c>
      <c r="AF220" s="432">
        <v>0</v>
      </c>
      <c r="AG220" s="432">
        <v>0</v>
      </c>
      <c r="AH220" s="432">
        <v>0</v>
      </c>
      <c r="AI220" s="158">
        <v>368530</v>
      </c>
      <c r="AJ220" s="158">
        <v>0</v>
      </c>
      <c r="AK220" s="158">
        <v>368530</v>
      </c>
      <c r="AL220" s="158">
        <v>368530</v>
      </c>
      <c r="AM220" s="158">
        <v>5292000</v>
      </c>
      <c r="AN220" s="158">
        <v>368530</v>
      </c>
      <c r="AO220" s="158">
        <v>368530</v>
      </c>
      <c r="AP220" s="158">
        <v>368000</v>
      </c>
      <c r="AQ220" s="432">
        <v>0</v>
      </c>
      <c r="AR220" s="432">
        <v>0</v>
      </c>
      <c r="AS220" s="432">
        <v>0</v>
      </c>
      <c r="AT220" s="432">
        <v>0</v>
      </c>
      <c r="AU220" s="432">
        <v>0</v>
      </c>
      <c r="AV220" s="432">
        <v>0</v>
      </c>
      <c r="AW220" s="432">
        <v>0</v>
      </c>
      <c r="AX220" s="432">
        <v>0</v>
      </c>
      <c r="AY220" s="158">
        <v>0</v>
      </c>
      <c r="AZ220" s="158">
        <v>0</v>
      </c>
      <c r="BA220" s="158">
        <v>0</v>
      </c>
      <c r="BB220" s="158">
        <v>0</v>
      </c>
      <c r="BC220" s="158">
        <v>0</v>
      </c>
      <c r="BD220" s="158">
        <v>0</v>
      </c>
      <c r="BE220" s="158">
        <v>0</v>
      </c>
      <c r="BF220" s="160">
        <v>0</v>
      </c>
      <c r="BG220" s="383">
        <v>2023</v>
      </c>
      <c r="BH220" s="383">
        <v>1</v>
      </c>
      <c r="BI220" s="383">
        <v>19</v>
      </c>
      <c r="BK220" s="147" t="str">
        <f>IF(R220=SUM(Z220,AH220,AP220,AX220,BF220),"○","×")</f>
        <v>○</v>
      </c>
    </row>
    <row r="221" spans="1:63" s="891" customFormat="1" x14ac:dyDescent="0.2">
      <c r="A221" s="884">
        <v>1410</v>
      </c>
      <c r="B221" s="885"/>
      <c r="C221" s="886"/>
      <c r="D221" s="885"/>
      <c r="E221" s="886"/>
      <c r="F221" s="885"/>
      <c r="G221" s="885"/>
      <c r="H221" s="886"/>
      <c r="I221" s="885"/>
      <c r="J221" s="885"/>
      <c r="K221" s="885"/>
      <c r="L221" s="887"/>
      <c r="M221" s="887" t="s">
        <v>659</v>
      </c>
      <c r="N221" s="887" t="s">
        <v>323</v>
      </c>
      <c r="O221" s="888" t="s">
        <v>660</v>
      </c>
      <c r="P221" s="887" t="s">
        <v>970</v>
      </c>
      <c r="Q221" s="888"/>
      <c r="R221" s="157">
        <v>198000</v>
      </c>
      <c r="S221" s="889">
        <v>0</v>
      </c>
      <c r="T221" s="889">
        <v>0</v>
      </c>
      <c r="U221" s="889">
        <v>0</v>
      </c>
      <c r="V221" s="889">
        <v>0</v>
      </c>
      <c r="W221" s="889">
        <v>0</v>
      </c>
      <c r="X221" s="889">
        <v>0</v>
      </c>
      <c r="Y221" s="889">
        <v>0</v>
      </c>
      <c r="Z221" s="889">
        <v>0</v>
      </c>
      <c r="AA221" s="157">
        <v>0</v>
      </c>
      <c r="AB221" s="157">
        <v>0</v>
      </c>
      <c r="AC221" s="157">
        <v>0</v>
      </c>
      <c r="AD221" s="157">
        <v>0</v>
      </c>
      <c r="AE221" s="157">
        <v>0</v>
      </c>
      <c r="AF221" s="157">
        <v>0</v>
      </c>
      <c r="AG221" s="157">
        <v>0</v>
      </c>
      <c r="AH221" s="157">
        <v>0</v>
      </c>
      <c r="AI221" s="889">
        <v>198124</v>
      </c>
      <c r="AJ221" s="889">
        <v>0</v>
      </c>
      <c r="AK221" s="889">
        <v>198124</v>
      </c>
      <c r="AL221" s="889">
        <v>198124</v>
      </c>
      <c r="AM221" s="889">
        <v>3456000</v>
      </c>
      <c r="AN221" s="889">
        <v>198124</v>
      </c>
      <c r="AO221" s="889">
        <v>198124</v>
      </c>
      <c r="AP221" s="889">
        <v>198000</v>
      </c>
      <c r="AQ221" s="157">
        <v>0</v>
      </c>
      <c r="AR221" s="157">
        <v>0</v>
      </c>
      <c r="AS221" s="157">
        <v>0</v>
      </c>
      <c r="AT221" s="157">
        <v>0</v>
      </c>
      <c r="AU221" s="157">
        <v>0</v>
      </c>
      <c r="AV221" s="157">
        <v>0</v>
      </c>
      <c r="AW221" s="157">
        <v>0</v>
      </c>
      <c r="AX221" s="157">
        <v>0</v>
      </c>
      <c r="AY221" s="889">
        <v>0</v>
      </c>
      <c r="AZ221" s="889">
        <v>0</v>
      </c>
      <c r="BA221" s="889">
        <v>0</v>
      </c>
      <c r="BB221" s="889">
        <v>0</v>
      </c>
      <c r="BC221" s="889">
        <v>0</v>
      </c>
      <c r="BD221" s="889">
        <v>0</v>
      </c>
      <c r="BE221" s="889">
        <v>0</v>
      </c>
      <c r="BF221" s="890">
        <v>0</v>
      </c>
      <c r="BG221" s="887">
        <v>2023</v>
      </c>
      <c r="BH221" s="887">
        <v>3</v>
      </c>
      <c r="BI221" s="887">
        <v>30</v>
      </c>
    </row>
    <row r="222" spans="1:63" x14ac:dyDescent="0.2">
      <c r="A222" s="428">
        <v>1411</v>
      </c>
      <c r="B222" s="429"/>
      <c r="C222" s="430"/>
      <c r="D222" s="429"/>
      <c r="E222" s="430"/>
      <c r="F222" s="429"/>
      <c r="G222" s="429"/>
      <c r="H222" s="430"/>
      <c r="I222" s="429"/>
      <c r="J222" s="429"/>
      <c r="K222" s="429"/>
      <c r="L222" s="383"/>
      <c r="M222" s="383" t="s">
        <v>510</v>
      </c>
      <c r="N222" s="383" t="s">
        <v>356</v>
      </c>
      <c r="O222" s="383" t="s">
        <v>324</v>
      </c>
      <c r="P222" s="383" t="s">
        <v>970</v>
      </c>
      <c r="Q222" s="383"/>
      <c r="R222" s="431">
        <v>66000</v>
      </c>
      <c r="S222" s="158">
        <v>0</v>
      </c>
      <c r="T222" s="158">
        <v>0</v>
      </c>
      <c r="U222" s="158">
        <v>0</v>
      </c>
      <c r="V222" s="158">
        <v>0</v>
      </c>
      <c r="W222" s="158">
        <v>0</v>
      </c>
      <c r="X222" s="158">
        <v>0</v>
      </c>
      <c r="Y222" s="158">
        <v>0</v>
      </c>
      <c r="Z222" s="158">
        <v>0</v>
      </c>
      <c r="AA222" s="432">
        <v>0</v>
      </c>
      <c r="AB222" s="432">
        <v>0</v>
      </c>
      <c r="AC222" s="432">
        <v>0</v>
      </c>
      <c r="AD222" s="432">
        <v>0</v>
      </c>
      <c r="AE222" s="432">
        <v>0</v>
      </c>
      <c r="AF222" s="432">
        <v>0</v>
      </c>
      <c r="AG222" s="432">
        <v>0</v>
      </c>
      <c r="AH222" s="432">
        <v>0</v>
      </c>
      <c r="AI222" s="158">
        <v>66748</v>
      </c>
      <c r="AJ222" s="158">
        <v>0</v>
      </c>
      <c r="AK222" s="158">
        <v>66748</v>
      </c>
      <c r="AL222" s="158">
        <v>66748</v>
      </c>
      <c r="AM222" s="158">
        <v>3654000</v>
      </c>
      <c r="AN222" s="158">
        <v>66748</v>
      </c>
      <c r="AO222" s="158">
        <v>66748</v>
      </c>
      <c r="AP222" s="158">
        <v>66000</v>
      </c>
      <c r="AQ222" s="432">
        <v>0</v>
      </c>
      <c r="AR222" s="432">
        <v>0</v>
      </c>
      <c r="AS222" s="432">
        <v>0</v>
      </c>
      <c r="AT222" s="432">
        <v>0</v>
      </c>
      <c r="AU222" s="432">
        <v>0</v>
      </c>
      <c r="AV222" s="432">
        <v>0</v>
      </c>
      <c r="AW222" s="432">
        <v>0</v>
      </c>
      <c r="AX222" s="432">
        <v>0</v>
      </c>
      <c r="AY222" s="158">
        <v>0</v>
      </c>
      <c r="AZ222" s="158">
        <v>0</v>
      </c>
      <c r="BA222" s="158">
        <v>0</v>
      </c>
      <c r="BB222" s="158">
        <v>0</v>
      </c>
      <c r="BC222" s="158">
        <v>0</v>
      </c>
      <c r="BD222" s="158">
        <v>0</v>
      </c>
      <c r="BE222" s="158">
        <v>0</v>
      </c>
      <c r="BF222" s="160">
        <v>0</v>
      </c>
      <c r="BG222" s="383">
        <v>2023</v>
      </c>
      <c r="BH222" s="383">
        <v>1</v>
      </c>
      <c r="BI222" s="383">
        <v>19</v>
      </c>
      <c r="BK222" s="147" t="str">
        <f>IF(R222=SUM(Z222,AH222,AP222,AX222,BF222),"○","×")</f>
        <v>○</v>
      </c>
    </row>
    <row r="223" spans="1:63" x14ac:dyDescent="0.2">
      <c r="A223" s="428">
        <v>1412</v>
      </c>
      <c r="B223" s="429"/>
      <c r="C223" s="430"/>
      <c r="D223" s="429"/>
      <c r="E223" s="430"/>
      <c r="F223" s="429"/>
      <c r="G223" s="429"/>
      <c r="H223" s="430"/>
      <c r="I223" s="429"/>
      <c r="J223" s="429"/>
      <c r="K223" s="429"/>
      <c r="L223" s="383"/>
      <c r="M223" s="383" t="s">
        <v>661</v>
      </c>
      <c r="N223" s="383" t="s">
        <v>340</v>
      </c>
      <c r="O223" s="383" t="s">
        <v>662</v>
      </c>
      <c r="P223" s="383" t="s">
        <v>970</v>
      </c>
      <c r="Q223" s="383"/>
      <c r="R223" s="431">
        <v>209000</v>
      </c>
      <c r="S223" s="158">
        <v>0</v>
      </c>
      <c r="T223" s="158">
        <v>0</v>
      </c>
      <c r="U223" s="158">
        <v>0</v>
      </c>
      <c r="V223" s="158">
        <v>0</v>
      </c>
      <c r="W223" s="158">
        <v>0</v>
      </c>
      <c r="X223" s="158">
        <v>0</v>
      </c>
      <c r="Y223" s="158">
        <v>0</v>
      </c>
      <c r="Z223" s="158">
        <v>0</v>
      </c>
      <c r="AA223" s="432">
        <v>0</v>
      </c>
      <c r="AB223" s="432">
        <v>0</v>
      </c>
      <c r="AC223" s="432">
        <v>0</v>
      </c>
      <c r="AD223" s="432">
        <v>0</v>
      </c>
      <c r="AE223" s="432">
        <v>0</v>
      </c>
      <c r="AF223" s="432">
        <v>0</v>
      </c>
      <c r="AG223" s="432">
        <v>0</v>
      </c>
      <c r="AH223" s="432">
        <v>0</v>
      </c>
      <c r="AI223" s="158">
        <v>209998</v>
      </c>
      <c r="AJ223" s="158">
        <v>0</v>
      </c>
      <c r="AK223" s="158">
        <v>209998</v>
      </c>
      <c r="AL223" s="158">
        <v>209998</v>
      </c>
      <c r="AM223" s="158">
        <v>986400</v>
      </c>
      <c r="AN223" s="158">
        <v>209998</v>
      </c>
      <c r="AO223" s="158">
        <v>209998</v>
      </c>
      <c r="AP223" s="158">
        <v>209000</v>
      </c>
      <c r="AQ223" s="432">
        <v>0</v>
      </c>
      <c r="AR223" s="432">
        <v>0</v>
      </c>
      <c r="AS223" s="432">
        <v>0</v>
      </c>
      <c r="AT223" s="432">
        <v>0</v>
      </c>
      <c r="AU223" s="432">
        <v>0</v>
      </c>
      <c r="AV223" s="432">
        <v>0</v>
      </c>
      <c r="AW223" s="432">
        <v>0</v>
      </c>
      <c r="AX223" s="432">
        <v>0</v>
      </c>
      <c r="AY223" s="158">
        <v>0</v>
      </c>
      <c r="AZ223" s="158">
        <v>0</v>
      </c>
      <c r="BA223" s="158">
        <v>0</v>
      </c>
      <c r="BB223" s="158">
        <v>0</v>
      </c>
      <c r="BC223" s="158">
        <v>0</v>
      </c>
      <c r="BD223" s="158">
        <v>0</v>
      </c>
      <c r="BE223" s="158">
        <v>0</v>
      </c>
      <c r="BF223" s="160">
        <v>0</v>
      </c>
      <c r="BG223" s="383">
        <v>2023</v>
      </c>
      <c r="BH223" s="383">
        <v>1</v>
      </c>
      <c r="BI223" s="383">
        <v>19</v>
      </c>
      <c r="BK223" s="147" t="str">
        <f>IF(R223=SUM(Z223,AH223,AP223,AX223,BF223),"○","×")</f>
        <v>○</v>
      </c>
    </row>
    <row r="224" spans="1:63" x14ac:dyDescent="0.2">
      <c r="A224" s="428">
        <v>1413</v>
      </c>
      <c r="B224" s="429"/>
      <c r="C224" s="430"/>
      <c r="D224" s="429"/>
      <c r="E224" s="430"/>
      <c r="F224" s="429"/>
      <c r="G224" s="429"/>
      <c r="H224" s="430"/>
      <c r="I224" s="429"/>
      <c r="J224" s="429"/>
      <c r="K224" s="429"/>
      <c r="L224" s="383"/>
      <c r="M224" s="383" t="s">
        <v>663</v>
      </c>
      <c r="N224" s="383" t="s">
        <v>367</v>
      </c>
      <c r="O224" s="383" t="s">
        <v>506</v>
      </c>
      <c r="P224" s="383" t="s">
        <v>970</v>
      </c>
      <c r="Q224" s="383"/>
      <c r="R224" s="431">
        <v>1044000</v>
      </c>
      <c r="S224" s="158">
        <v>0</v>
      </c>
      <c r="T224" s="158">
        <v>0</v>
      </c>
      <c r="U224" s="158">
        <v>0</v>
      </c>
      <c r="V224" s="158">
        <v>0</v>
      </c>
      <c r="W224" s="158">
        <v>0</v>
      </c>
      <c r="X224" s="158">
        <v>0</v>
      </c>
      <c r="Y224" s="158">
        <v>0</v>
      </c>
      <c r="Z224" s="158">
        <v>0</v>
      </c>
      <c r="AA224" s="432">
        <v>0</v>
      </c>
      <c r="AB224" s="432">
        <v>0</v>
      </c>
      <c r="AC224" s="432">
        <v>0</v>
      </c>
      <c r="AD224" s="432">
        <v>0</v>
      </c>
      <c r="AE224" s="432">
        <v>0</v>
      </c>
      <c r="AF224" s="432">
        <v>0</v>
      </c>
      <c r="AG224" s="432">
        <v>0</v>
      </c>
      <c r="AH224" s="432">
        <v>0</v>
      </c>
      <c r="AI224" s="158">
        <v>1044340</v>
      </c>
      <c r="AJ224" s="158">
        <v>0</v>
      </c>
      <c r="AK224" s="158">
        <v>1044340</v>
      </c>
      <c r="AL224" s="158">
        <v>1044340</v>
      </c>
      <c r="AM224" s="158">
        <v>1499400</v>
      </c>
      <c r="AN224" s="158">
        <v>1044340</v>
      </c>
      <c r="AO224" s="158">
        <v>1044340</v>
      </c>
      <c r="AP224" s="158">
        <v>1044000</v>
      </c>
      <c r="AQ224" s="432">
        <v>0</v>
      </c>
      <c r="AR224" s="432">
        <v>0</v>
      </c>
      <c r="AS224" s="432">
        <v>0</v>
      </c>
      <c r="AT224" s="432">
        <v>0</v>
      </c>
      <c r="AU224" s="432">
        <v>0</v>
      </c>
      <c r="AV224" s="432">
        <v>0</v>
      </c>
      <c r="AW224" s="432">
        <v>0</v>
      </c>
      <c r="AX224" s="432">
        <v>0</v>
      </c>
      <c r="AY224" s="158">
        <v>0</v>
      </c>
      <c r="AZ224" s="158">
        <v>0</v>
      </c>
      <c r="BA224" s="158">
        <v>0</v>
      </c>
      <c r="BB224" s="158">
        <v>0</v>
      </c>
      <c r="BC224" s="158">
        <v>0</v>
      </c>
      <c r="BD224" s="158">
        <v>0</v>
      </c>
      <c r="BE224" s="158">
        <v>0</v>
      </c>
      <c r="BF224" s="160">
        <v>0</v>
      </c>
      <c r="BG224" s="383">
        <v>2023</v>
      </c>
      <c r="BH224" s="383">
        <v>1</v>
      </c>
      <c r="BI224" s="383">
        <v>19</v>
      </c>
      <c r="BK224" s="147" t="str">
        <f>IF(R224=SUM(Z224,AH224,AP224,AX224,BF224),"○","×")</f>
        <v>○</v>
      </c>
    </row>
    <row r="225" spans="1:63" x14ac:dyDescent="0.2">
      <c r="A225" s="428">
        <v>1414</v>
      </c>
      <c r="B225" s="429"/>
      <c r="C225" s="430"/>
      <c r="D225" s="429"/>
      <c r="E225" s="430"/>
      <c r="F225" s="429"/>
      <c r="G225" s="429"/>
      <c r="H225" s="430"/>
      <c r="I225" s="429"/>
      <c r="J225" s="429"/>
      <c r="K225" s="429"/>
      <c r="L225" s="383"/>
      <c r="M225" s="383" t="s">
        <v>664</v>
      </c>
      <c r="N225" s="383" t="s">
        <v>323</v>
      </c>
      <c r="O225" s="383" t="s">
        <v>530</v>
      </c>
      <c r="P225" s="383" t="s">
        <v>970</v>
      </c>
      <c r="Q225" s="383"/>
      <c r="R225" s="431">
        <v>325000</v>
      </c>
      <c r="S225" s="158">
        <v>0</v>
      </c>
      <c r="T225" s="158">
        <v>0</v>
      </c>
      <c r="U225" s="158">
        <v>0</v>
      </c>
      <c r="V225" s="158">
        <v>0</v>
      </c>
      <c r="W225" s="158">
        <v>0</v>
      </c>
      <c r="X225" s="158">
        <v>0</v>
      </c>
      <c r="Y225" s="158">
        <v>0</v>
      </c>
      <c r="Z225" s="158">
        <v>0</v>
      </c>
      <c r="AA225" s="432">
        <v>0</v>
      </c>
      <c r="AB225" s="432">
        <v>0</v>
      </c>
      <c r="AC225" s="432">
        <v>0</v>
      </c>
      <c r="AD225" s="432">
        <v>0</v>
      </c>
      <c r="AE225" s="432">
        <v>0</v>
      </c>
      <c r="AF225" s="432">
        <v>0</v>
      </c>
      <c r="AG225" s="432">
        <v>0</v>
      </c>
      <c r="AH225" s="432">
        <v>0</v>
      </c>
      <c r="AI225" s="158">
        <v>325490</v>
      </c>
      <c r="AJ225" s="158">
        <v>0</v>
      </c>
      <c r="AK225" s="158">
        <v>325490</v>
      </c>
      <c r="AL225" s="158">
        <v>325490</v>
      </c>
      <c r="AM225" s="158">
        <v>2592000</v>
      </c>
      <c r="AN225" s="158">
        <v>325490</v>
      </c>
      <c r="AO225" s="158">
        <v>325490</v>
      </c>
      <c r="AP225" s="158">
        <v>325000</v>
      </c>
      <c r="AQ225" s="432">
        <v>0</v>
      </c>
      <c r="AR225" s="432">
        <v>0</v>
      </c>
      <c r="AS225" s="432">
        <v>0</v>
      </c>
      <c r="AT225" s="432">
        <v>0</v>
      </c>
      <c r="AU225" s="432">
        <v>0</v>
      </c>
      <c r="AV225" s="432">
        <v>0</v>
      </c>
      <c r="AW225" s="432">
        <v>0</v>
      </c>
      <c r="AX225" s="432">
        <v>0</v>
      </c>
      <c r="AY225" s="158">
        <v>0</v>
      </c>
      <c r="AZ225" s="158">
        <v>0</v>
      </c>
      <c r="BA225" s="158">
        <v>0</v>
      </c>
      <c r="BB225" s="158">
        <v>0</v>
      </c>
      <c r="BC225" s="158">
        <v>0</v>
      </c>
      <c r="BD225" s="158">
        <v>0</v>
      </c>
      <c r="BE225" s="158">
        <v>0</v>
      </c>
      <c r="BF225" s="160">
        <v>0</v>
      </c>
      <c r="BG225" s="383">
        <v>2023</v>
      </c>
      <c r="BH225" s="383">
        <v>1</v>
      </c>
      <c r="BI225" s="383">
        <v>19</v>
      </c>
      <c r="BK225" s="147" t="str">
        <f>IF(R225=SUM(Z225,AH225,AP225,AX225,BF225),"○","×")</f>
        <v>○</v>
      </c>
    </row>
    <row r="226" spans="1:63" x14ac:dyDescent="0.2">
      <c r="A226" s="428">
        <v>1415</v>
      </c>
      <c r="B226" s="429"/>
      <c r="C226" s="430"/>
      <c r="D226" s="429"/>
      <c r="E226" s="430"/>
      <c r="F226" s="429"/>
      <c r="G226" s="429"/>
      <c r="H226" s="430"/>
      <c r="I226" s="429"/>
      <c r="J226" s="429"/>
      <c r="K226" s="429"/>
      <c r="L226" s="383"/>
      <c r="M226" s="383" t="s">
        <v>665</v>
      </c>
      <c r="N226" s="383" t="s">
        <v>356</v>
      </c>
      <c r="O226" s="383" t="s">
        <v>464</v>
      </c>
      <c r="P226" s="383" t="s">
        <v>970</v>
      </c>
      <c r="Q226" s="383"/>
      <c r="R226" s="431">
        <v>38000</v>
      </c>
      <c r="S226" s="158">
        <v>0</v>
      </c>
      <c r="T226" s="158">
        <v>0</v>
      </c>
      <c r="U226" s="158">
        <v>0</v>
      </c>
      <c r="V226" s="158">
        <v>0</v>
      </c>
      <c r="W226" s="158">
        <v>0</v>
      </c>
      <c r="X226" s="158">
        <v>0</v>
      </c>
      <c r="Y226" s="158">
        <v>0</v>
      </c>
      <c r="Z226" s="158">
        <v>0</v>
      </c>
      <c r="AA226" s="432">
        <v>0</v>
      </c>
      <c r="AB226" s="432">
        <v>0</v>
      </c>
      <c r="AC226" s="432">
        <v>0</v>
      </c>
      <c r="AD226" s="432">
        <v>0</v>
      </c>
      <c r="AE226" s="432">
        <v>0</v>
      </c>
      <c r="AF226" s="432">
        <v>0</v>
      </c>
      <c r="AG226" s="432">
        <v>0</v>
      </c>
      <c r="AH226" s="432">
        <v>0</v>
      </c>
      <c r="AI226" s="158">
        <v>38066</v>
      </c>
      <c r="AJ226" s="158">
        <v>0</v>
      </c>
      <c r="AK226" s="158">
        <v>38066</v>
      </c>
      <c r="AL226" s="158">
        <v>38066</v>
      </c>
      <c r="AM226" s="158">
        <v>1620000</v>
      </c>
      <c r="AN226" s="158">
        <v>38066</v>
      </c>
      <c r="AO226" s="158">
        <v>38066</v>
      </c>
      <c r="AP226" s="158">
        <v>38000</v>
      </c>
      <c r="AQ226" s="432">
        <v>0</v>
      </c>
      <c r="AR226" s="432">
        <v>0</v>
      </c>
      <c r="AS226" s="432">
        <v>0</v>
      </c>
      <c r="AT226" s="432">
        <v>0</v>
      </c>
      <c r="AU226" s="432">
        <v>0</v>
      </c>
      <c r="AV226" s="432">
        <v>0</v>
      </c>
      <c r="AW226" s="432">
        <v>0</v>
      </c>
      <c r="AX226" s="432">
        <v>0</v>
      </c>
      <c r="AY226" s="158">
        <v>0</v>
      </c>
      <c r="AZ226" s="158">
        <v>0</v>
      </c>
      <c r="BA226" s="158">
        <v>0</v>
      </c>
      <c r="BB226" s="158">
        <v>0</v>
      </c>
      <c r="BC226" s="158">
        <v>0</v>
      </c>
      <c r="BD226" s="158">
        <v>0</v>
      </c>
      <c r="BE226" s="158">
        <v>0</v>
      </c>
      <c r="BF226" s="160">
        <v>0</v>
      </c>
      <c r="BG226" s="383">
        <v>2023</v>
      </c>
      <c r="BH226" s="383">
        <v>1</v>
      </c>
      <c r="BI226" s="383">
        <v>19</v>
      </c>
      <c r="BK226" s="147" t="str">
        <f>IF(R226=SUM(Z226,AH226,AP226,AX226,BF226),"○","×")</f>
        <v>○</v>
      </c>
    </row>
    <row r="227" spans="1:63" x14ac:dyDescent="0.2">
      <c r="A227" s="428">
        <v>1416</v>
      </c>
      <c r="B227" s="429"/>
      <c r="C227" s="430"/>
      <c r="D227" s="429"/>
      <c r="E227" s="430"/>
      <c r="F227" s="429"/>
      <c r="G227" s="429"/>
      <c r="H227" s="430"/>
      <c r="I227" s="429"/>
      <c r="J227" s="429"/>
      <c r="K227" s="429"/>
      <c r="L227" s="383"/>
      <c r="M227" s="383" t="s">
        <v>666</v>
      </c>
      <c r="N227" s="383" t="s">
        <v>340</v>
      </c>
      <c r="O227" s="383" t="s">
        <v>667</v>
      </c>
      <c r="P227" s="383" t="s">
        <v>970</v>
      </c>
      <c r="Q227" s="383"/>
      <c r="R227" s="431">
        <v>540000</v>
      </c>
      <c r="S227" s="158">
        <v>0</v>
      </c>
      <c r="T227" s="158">
        <v>0</v>
      </c>
      <c r="U227" s="158">
        <v>0</v>
      </c>
      <c r="V227" s="158">
        <v>0</v>
      </c>
      <c r="W227" s="158">
        <v>0</v>
      </c>
      <c r="X227" s="158">
        <v>0</v>
      </c>
      <c r="Y227" s="158">
        <v>0</v>
      </c>
      <c r="Z227" s="158">
        <v>0</v>
      </c>
      <c r="AA227" s="432">
        <v>0</v>
      </c>
      <c r="AB227" s="432">
        <v>0</v>
      </c>
      <c r="AC227" s="432">
        <v>0</v>
      </c>
      <c r="AD227" s="432">
        <v>0</v>
      </c>
      <c r="AE227" s="432">
        <v>0</v>
      </c>
      <c r="AF227" s="432">
        <v>0</v>
      </c>
      <c r="AG227" s="432">
        <v>0</v>
      </c>
      <c r="AH227" s="432">
        <v>0</v>
      </c>
      <c r="AI227" s="158">
        <v>540780</v>
      </c>
      <c r="AJ227" s="158">
        <v>0</v>
      </c>
      <c r="AK227" s="158">
        <v>540780</v>
      </c>
      <c r="AL227" s="158">
        <v>540780</v>
      </c>
      <c r="AM227" s="158">
        <v>792000</v>
      </c>
      <c r="AN227" s="158">
        <v>540780</v>
      </c>
      <c r="AO227" s="158">
        <v>540780</v>
      </c>
      <c r="AP227" s="158">
        <v>540000</v>
      </c>
      <c r="AQ227" s="432">
        <v>0</v>
      </c>
      <c r="AR227" s="432">
        <v>0</v>
      </c>
      <c r="AS227" s="432">
        <v>0</v>
      </c>
      <c r="AT227" s="432">
        <v>0</v>
      </c>
      <c r="AU227" s="432">
        <v>0</v>
      </c>
      <c r="AV227" s="432">
        <v>0</v>
      </c>
      <c r="AW227" s="432">
        <v>0</v>
      </c>
      <c r="AX227" s="432">
        <v>0</v>
      </c>
      <c r="AY227" s="158">
        <v>0</v>
      </c>
      <c r="AZ227" s="158">
        <v>0</v>
      </c>
      <c r="BA227" s="158">
        <v>0</v>
      </c>
      <c r="BB227" s="158">
        <v>0</v>
      </c>
      <c r="BC227" s="158">
        <v>0</v>
      </c>
      <c r="BD227" s="158">
        <v>0</v>
      </c>
      <c r="BE227" s="158">
        <v>0</v>
      </c>
      <c r="BF227" s="160">
        <v>0</v>
      </c>
      <c r="BG227" s="383">
        <v>2023</v>
      </c>
      <c r="BH227" s="383">
        <v>1</v>
      </c>
      <c r="BI227" s="383">
        <v>19</v>
      </c>
      <c r="BK227" s="147" t="str">
        <f>IF(R227=SUM(Z227,AH227,AP227,AX227,BF227),"○","×")</f>
        <v>○</v>
      </c>
    </row>
    <row r="228" spans="1:63" x14ac:dyDescent="0.2">
      <c r="A228" s="428">
        <v>1417</v>
      </c>
      <c r="B228" s="429"/>
      <c r="C228" s="430"/>
      <c r="D228" s="429"/>
      <c r="E228" s="430"/>
      <c r="F228" s="429"/>
      <c r="G228" s="429"/>
      <c r="H228" s="430"/>
      <c r="I228" s="429"/>
      <c r="J228" s="429"/>
      <c r="K228" s="429"/>
      <c r="L228" s="383"/>
      <c r="M228" s="383" t="s">
        <v>503</v>
      </c>
      <c r="N228" s="383" t="s">
        <v>329</v>
      </c>
      <c r="O228" s="383" t="s">
        <v>504</v>
      </c>
      <c r="P228" s="383" t="s">
        <v>970</v>
      </c>
      <c r="Q228" s="383"/>
      <c r="R228" s="431">
        <v>86000</v>
      </c>
      <c r="S228" s="158">
        <v>0</v>
      </c>
      <c r="T228" s="158">
        <v>0</v>
      </c>
      <c r="U228" s="158">
        <v>0</v>
      </c>
      <c r="V228" s="158">
        <v>0</v>
      </c>
      <c r="W228" s="158">
        <v>0</v>
      </c>
      <c r="X228" s="158">
        <v>0</v>
      </c>
      <c r="Y228" s="158">
        <v>0</v>
      </c>
      <c r="Z228" s="158">
        <v>0</v>
      </c>
      <c r="AA228" s="432">
        <v>0</v>
      </c>
      <c r="AB228" s="432">
        <v>0</v>
      </c>
      <c r="AC228" s="432">
        <v>0</v>
      </c>
      <c r="AD228" s="432">
        <v>0</v>
      </c>
      <c r="AE228" s="432">
        <v>0</v>
      </c>
      <c r="AF228" s="432">
        <v>0</v>
      </c>
      <c r="AG228" s="432">
        <v>0</v>
      </c>
      <c r="AH228" s="432">
        <v>0</v>
      </c>
      <c r="AI228" s="158">
        <v>86900</v>
      </c>
      <c r="AJ228" s="158">
        <v>0</v>
      </c>
      <c r="AK228" s="158">
        <v>86900</v>
      </c>
      <c r="AL228" s="158">
        <v>86900</v>
      </c>
      <c r="AM228" s="158">
        <v>1872000</v>
      </c>
      <c r="AN228" s="158">
        <v>86900</v>
      </c>
      <c r="AO228" s="158">
        <v>86900</v>
      </c>
      <c r="AP228" s="158">
        <v>86000</v>
      </c>
      <c r="AQ228" s="432">
        <v>0</v>
      </c>
      <c r="AR228" s="432">
        <v>0</v>
      </c>
      <c r="AS228" s="432">
        <v>0</v>
      </c>
      <c r="AT228" s="432">
        <v>0</v>
      </c>
      <c r="AU228" s="432">
        <v>0</v>
      </c>
      <c r="AV228" s="432">
        <v>0</v>
      </c>
      <c r="AW228" s="432">
        <v>0</v>
      </c>
      <c r="AX228" s="432">
        <v>0</v>
      </c>
      <c r="AY228" s="158">
        <v>0</v>
      </c>
      <c r="AZ228" s="158">
        <v>0</v>
      </c>
      <c r="BA228" s="158">
        <v>0</v>
      </c>
      <c r="BB228" s="158">
        <v>0</v>
      </c>
      <c r="BC228" s="158">
        <v>0</v>
      </c>
      <c r="BD228" s="158">
        <v>0</v>
      </c>
      <c r="BE228" s="158">
        <v>0</v>
      </c>
      <c r="BF228" s="160">
        <v>0</v>
      </c>
      <c r="BG228" s="383">
        <v>2023</v>
      </c>
      <c r="BH228" s="383">
        <v>1</v>
      </c>
      <c r="BI228" s="383">
        <v>19</v>
      </c>
      <c r="BK228" s="147" t="str">
        <f>IF(R228=SUM(Z228,AH228,AP228,AX228,BF228),"○","×")</f>
        <v>○</v>
      </c>
    </row>
    <row r="229" spans="1:63" x14ac:dyDescent="0.2">
      <c r="A229" s="428">
        <v>1418</v>
      </c>
      <c r="B229" s="429"/>
      <c r="C229" s="430"/>
      <c r="D229" s="429"/>
      <c r="E229" s="430"/>
      <c r="F229" s="429"/>
      <c r="G229" s="429"/>
      <c r="H229" s="430"/>
      <c r="I229" s="429"/>
      <c r="J229" s="429"/>
      <c r="K229" s="429"/>
      <c r="L229" s="383"/>
      <c r="M229" s="383" t="s">
        <v>668</v>
      </c>
      <c r="N229" s="383" t="s">
        <v>323</v>
      </c>
      <c r="O229" s="383" t="s">
        <v>669</v>
      </c>
      <c r="P229" s="383" t="s">
        <v>970</v>
      </c>
      <c r="Q229" s="383"/>
      <c r="R229" s="431">
        <v>300000</v>
      </c>
      <c r="S229" s="158">
        <v>0</v>
      </c>
      <c r="T229" s="158">
        <v>0</v>
      </c>
      <c r="U229" s="158">
        <v>0</v>
      </c>
      <c r="V229" s="158">
        <v>0</v>
      </c>
      <c r="W229" s="158">
        <v>0</v>
      </c>
      <c r="X229" s="158">
        <v>0</v>
      </c>
      <c r="Y229" s="158">
        <v>0</v>
      </c>
      <c r="Z229" s="158">
        <v>0</v>
      </c>
      <c r="AA229" s="432">
        <v>0</v>
      </c>
      <c r="AB229" s="432">
        <v>0</v>
      </c>
      <c r="AC229" s="432">
        <v>0</v>
      </c>
      <c r="AD229" s="432">
        <v>0</v>
      </c>
      <c r="AE229" s="432">
        <v>0</v>
      </c>
      <c r="AF229" s="432">
        <v>0</v>
      </c>
      <c r="AG229" s="432">
        <v>0</v>
      </c>
      <c r="AH229" s="432">
        <v>0</v>
      </c>
      <c r="AI229" s="158">
        <v>300208</v>
      </c>
      <c r="AJ229" s="158">
        <v>0</v>
      </c>
      <c r="AK229" s="158">
        <v>300208</v>
      </c>
      <c r="AL229" s="158">
        <v>300208</v>
      </c>
      <c r="AM229" s="158">
        <v>2160000</v>
      </c>
      <c r="AN229" s="158">
        <v>300208</v>
      </c>
      <c r="AO229" s="158">
        <v>300208</v>
      </c>
      <c r="AP229" s="158">
        <v>300000</v>
      </c>
      <c r="AQ229" s="432">
        <v>0</v>
      </c>
      <c r="AR229" s="432">
        <v>0</v>
      </c>
      <c r="AS229" s="432">
        <v>0</v>
      </c>
      <c r="AT229" s="432">
        <v>0</v>
      </c>
      <c r="AU229" s="432">
        <v>0</v>
      </c>
      <c r="AV229" s="432">
        <v>0</v>
      </c>
      <c r="AW229" s="432">
        <v>0</v>
      </c>
      <c r="AX229" s="432">
        <v>0</v>
      </c>
      <c r="AY229" s="158">
        <v>0</v>
      </c>
      <c r="AZ229" s="158">
        <v>0</v>
      </c>
      <c r="BA229" s="158">
        <v>0</v>
      </c>
      <c r="BB229" s="158">
        <v>0</v>
      </c>
      <c r="BC229" s="158">
        <v>0</v>
      </c>
      <c r="BD229" s="158">
        <v>0</v>
      </c>
      <c r="BE229" s="158">
        <v>0</v>
      </c>
      <c r="BF229" s="160">
        <v>0</v>
      </c>
      <c r="BG229" s="383">
        <v>2023</v>
      </c>
      <c r="BH229" s="383">
        <v>1</v>
      </c>
      <c r="BI229" s="383">
        <v>19</v>
      </c>
      <c r="BK229" s="147" t="str">
        <f>IF(R229=SUM(Z229,AH229,AP229,AX229,BF229),"○","×")</f>
        <v>○</v>
      </c>
    </row>
    <row r="230" spans="1:63" x14ac:dyDescent="0.2">
      <c r="A230" s="428">
        <v>1419</v>
      </c>
      <c r="B230" s="429"/>
      <c r="C230" s="430"/>
      <c r="D230" s="429"/>
      <c r="E230" s="430"/>
      <c r="F230" s="429"/>
      <c r="G230" s="429"/>
      <c r="H230" s="430"/>
      <c r="I230" s="429"/>
      <c r="J230" s="429"/>
      <c r="K230" s="429"/>
      <c r="L230" s="383"/>
      <c r="M230" s="383" t="s">
        <v>355</v>
      </c>
      <c r="N230" s="383" t="s">
        <v>356</v>
      </c>
      <c r="O230" s="383" t="s">
        <v>357</v>
      </c>
      <c r="P230" s="383" t="s">
        <v>970</v>
      </c>
      <c r="Q230" s="383"/>
      <c r="R230" s="431">
        <v>1613000</v>
      </c>
      <c r="S230" s="158">
        <v>0</v>
      </c>
      <c r="T230" s="158">
        <v>0</v>
      </c>
      <c r="U230" s="158">
        <v>0</v>
      </c>
      <c r="V230" s="158">
        <v>0</v>
      </c>
      <c r="W230" s="158">
        <v>0</v>
      </c>
      <c r="X230" s="158">
        <v>0</v>
      </c>
      <c r="Y230" s="158">
        <v>0</v>
      </c>
      <c r="Z230" s="158">
        <v>0</v>
      </c>
      <c r="AA230" s="432">
        <v>0</v>
      </c>
      <c r="AB230" s="432">
        <v>0</v>
      </c>
      <c r="AC230" s="432">
        <v>0</v>
      </c>
      <c r="AD230" s="432">
        <v>0</v>
      </c>
      <c r="AE230" s="432">
        <v>0</v>
      </c>
      <c r="AF230" s="432">
        <v>0</v>
      </c>
      <c r="AG230" s="432">
        <v>0</v>
      </c>
      <c r="AH230" s="432">
        <v>0</v>
      </c>
      <c r="AI230" s="158">
        <v>1613139</v>
      </c>
      <c r="AJ230" s="158">
        <v>0</v>
      </c>
      <c r="AK230" s="158">
        <v>1613139</v>
      </c>
      <c r="AL230" s="158">
        <v>1613139</v>
      </c>
      <c r="AM230" s="158">
        <v>8712000</v>
      </c>
      <c r="AN230" s="158">
        <v>1613139</v>
      </c>
      <c r="AO230" s="158">
        <v>1613139</v>
      </c>
      <c r="AP230" s="158">
        <v>1613000</v>
      </c>
      <c r="AQ230" s="432">
        <v>0</v>
      </c>
      <c r="AR230" s="432">
        <v>0</v>
      </c>
      <c r="AS230" s="432">
        <v>0</v>
      </c>
      <c r="AT230" s="432">
        <v>0</v>
      </c>
      <c r="AU230" s="432">
        <v>0</v>
      </c>
      <c r="AV230" s="432">
        <v>0</v>
      </c>
      <c r="AW230" s="432">
        <v>0</v>
      </c>
      <c r="AX230" s="432">
        <v>0</v>
      </c>
      <c r="AY230" s="158">
        <v>0</v>
      </c>
      <c r="AZ230" s="158">
        <v>0</v>
      </c>
      <c r="BA230" s="158">
        <v>0</v>
      </c>
      <c r="BB230" s="158">
        <v>0</v>
      </c>
      <c r="BC230" s="158">
        <v>0</v>
      </c>
      <c r="BD230" s="158">
        <v>0</v>
      </c>
      <c r="BE230" s="158">
        <v>0</v>
      </c>
      <c r="BF230" s="160">
        <v>0</v>
      </c>
      <c r="BG230" s="383">
        <v>2023</v>
      </c>
      <c r="BH230" s="383">
        <v>1</v>
      </c>
      <c r="BI230" s="383">
        <v>19</v>
      </c>
      <c r="BK230" s="147" t="str">
        <f>IF(R230=SUM(Z230,AH230,AP230,AX230,BF230),"○","×")</f>
        <v>○</v>
      </c>
    </row>
    <row r="231" spans="1:63" x14ac:dyDescent="0.2">
      <c r="A231" s="428">
        <v>1420</v>
      </c>
      <c r="B231" s="429"/>
      <c r="C231" s="430"/>
      <c r="D231" s="429"/>
      <c r="E231" s="430"/>
      <c r="F231" s="429"/>
      <c r="G231" s="429"/>
      <c r="H231" s="430"/>
      <c r="I231" s="429"/>
      <c r="J231" s="429"/>
      <c r="K231" s="429"/>
      <c r="L231" s="383"/>
      <c r="M231" s="383" t="s">
        <v>355</v>
      </c>
      <c r="N231" s="383" t="s">
        <v>356</v>
      </c>
      <c r="O231" s="383" t="s">
        <v>357</v>
      </c>
      <c r="P231" s="383" t="s">
        <v>970</v>
      </c>
      <c r="Q231" s="383"/>
      <c r="R231" s="431">
        <v>358000</v>
      </c>
      <c r="S231" s="158">
        <v>0</v>
      </c>
      <c r="T231" s="158">
        <v>0</v>
      </c>
      <c r="U231" s="158">
        <v>0</v>
      </c>
      <c r="V231" s="158">
        <v>0</v>
      </c>
      <c r="W231" s="158">
        <v>0</v>
      </c>
      <c r="X231" s="158">
        <v>0</v>
      </c>
      <c r="Y231" s="158">
        <v>0</v>
      </c>
      <c r="Z231" s="158">
        <v>0</v>
      </c>
      <c r="AA231" s="432">
        <v>0</v>
      </c>
      <c r="AB231" s="432">
        <v>0</v>
      </c>
      <c r="AC231" s="432">
        <v>0</v>
      </c>
      <c r="AD231" s="432">
        <v>0</v>
      </c>
      <c r="AE231" s="432">
        <v>0</v>
      </c>
      <c r="AF231" s="432">
        <v>0</v>
      </c>
      <c r="AG231" s="432">
        <v>0</v>
      </c>
      <c r="AH231" s="432">
        <v>0</v>
      </c>
      <c r="AI231" s="158">
        <v>358278</v>
      </c>
      <c r="AJ231" s="158">
        <v>0</v>
      </c>
      <c r="AK231" s="158">
        <v>358278</v>
      </c>
      <c r="AL231" s="158">
        <v>358278</v>
      </c>
      <c r="AM231" s="158">
        <v>3931200</v>
      </c>
      <c r="AN231" s="158">
        <v>358278</v>
      </c>
      <c r="AO231" s="158">
        <v>358278</v>
      </c>
      <c r="AP231" s="158">
        <v>358000</v>
      </c>
      <c r="AQ231" s="432">
        <v>0</v>
      </c>
      <c r="AR231" s="432">
        <v>0</v>
      </c>
      <c r="AS231" s="432">
        <v>0</v>
      </c>
      <c r="AT231" s="432">
        <v>0</v>
      </c>
      <c r="AU231" s="432">
        <v>0</v>
      </c>
      <c r="AV231" s="432">
        <v>0</v>
      </c>
      <c r="AW231" s="432">
        <v>0</v>
      </c>
      <c r="AX231" s="432">
        <v>0</v>
      </c>
      <c r="AY231" s="158">
        <v>0</v>
      </c>
      <c r="AZ231" s="158">
        <v>0</v>
      </c>
      <c r="BA231" s="158">
        <v>0</v>
      </c>
      <c r="BB231" s="158">
        <v>0</v>
      </c>
      <c r="BC231" s="158">
        <v>0</v>
      </c>
      <c r="BD231" s="158">
        <v>0</v>
      </c>
      <c r="BE231" s="158">
        <v>0</v>
      </c>
      <c r="BF231" s="160">
        <v>0</v>
      </c>
      <c r="BG231" s="383">
        <v>2023</v>
      </c>
      <c r="BH231" s="383">
        <v>1</v>
      </c>
      <c r="BI231" s="383">
        <v>19</v>
      </c>
      <c r="BK231" s="147" t="str">
        <f>IF(R231=SUM(Z231,AH231,AP231,AX231,BF231),"○","×")</f>
        <v>○</v>
      </c>
    </row>
    <row r="232" spans="1:63" x14ac:dyDescent="0.2">
      <c r="A232" s="428">
        <v>1421</v>
      </c>
      <c r="B232" s="429"/>
      <c r="C232" s="430"/>
      <c r="D232" s="429"/>
      <c r="E232" s="430"/>
      <c r="F232" s="429"/>
      <c r="G232" s="429"/>
      <c r="H232" s="430"/>
      <c r="I232" s="429"/>
      <c r="J232" s="429"/>
      <c r="K232" s="429"/>
      <c r="L232" s="383"/>
      <c r="M232" s="383" t="s">
        <v>670</v>
      </c>
      <c r="N232" s="383" t="s">
        <v>329</v>
      </c>
      <c r="O232" s="383" t="s">
        <v>671</v>
      </c>
      <c r="P232" s="383" t="s">
        <v>970</v>
      </c>
      <c r="Q232" s="383"/>
      <c r="R232" s="431">
        <v>126000</v>
      </c>
      <c r="S232" s="158">
        <v>0</v>
      </c>
      <c r="T232" s="158">
        <v>0</v>
      </c>
      <c r="U232" s="158">
        <v>0</v>
      </c>
      <c r="V232" s="158">
        <v>0</v>
      </c>
      <c r="W232" s="158">
        <v>0</v>
      </c>
      <c r="X232" s="158">
        <v>0</v>
      </c>
      <c r="Y232" s="158">
        <v>0</v>
      </c>
      <c r="Z232" s="158">
        <v>0</v>
      </c>
      <c r="AA232" s="432">
        <v>0</v>
      </c>
      <c r="AB232" s="432">
        <v>0</v>
      </c>
      <c r="AC232" s="432">
        <v>0</v>
      </c>
      <c r="AD232" s="432">
        <v>0</v>
      </c>
      <c r="AE232" s="432">
        <v>0</v>
      </c>
      <c r="AF232" s="432">
        <v>0</v>
      </c>
      <c r="AG232" s="432">
        <v>0</v>
      </c>
      <c r="AH232" s="432">
        <v>0</v>
      </c>
      <c r="AI232" s="158">
        <v>126720</v>
      </c>
      <c r="AJ232" s="158">
        <v>0</v>
      </c>
      <c r="AK232" s="158">
        <v>126720</v>
      </c>
      <c r="AL232" s="158">
        <v>126720</v>
      </c>
      <c r="AM232" s="158">
        <v>1036800</v>
      </c>
      <c r="AN232" s="158">
        <v>126720</v>
      </c>
      <c r="AO232" s="158">
        <v>126720</v>
      </c>
      <c r="AP232" s="158">
        <v>126000</v>
      </c>
      <c r="AQ232" s="432">
        <v>0</v>
      </c>
      <c r="AR232" s="432">
        <v>0</v>
      </c>
      <c r="AS232" s="432">
        <v>0</v>
      </c>
      <c r="AT232" s="432">
        <v>0</v>
      </c>
      <c r="AU232" s="432">
        <v>0</v>
      </c>
      <c r="AV232" s="432">
        <v>0</v>
      </c>
      <c r="AW232" s="432">
        <v>0</v>
      </c>
      <c r="AX232" s="432">
        <v>0</v>
      </c>
      <c r="AY232" s="158">
        <v>0</v>
      </c>
      <c r="AZ232" s="158">
        <v>0</v>
      </c>
      <c r="BA232" s="158">
        <v>0</v>
      </c>
      <c r="BB232" s="158">
        <v>0</v>
      </c>
      <c r="BC232" s="158">
        <v>0</v>
      </c>
      <c r="BD232" s="158">
        <v>0</v>
      </c>
      <c r="BE232" s="158">
        <v>0</v>
      </c>
      <c r="BF232" s="160">
        <v>0</v>
      </c>
      <c r="BG232" s="383">
        <v>2023</v>
      </c>
      <c r="BH232" s="383">
        <v>1</v>
      </c>
      <c r="BI232" s="383">
        <v>19</v>
      </c>
      <c r="BK232" s="147" t="str">
        <f>IF(R232=SUM(Z232,AH232,AP232,AX232,BF232),"○","×")</f>
        <v>○</v>
      </c>
    </row>
    <row r="233" spans="1:63" x14ac:dyDescent="0.2">
      <c r="A233" s="428">
        <v>1422</v>
      </c>
      <c r="B233" s="429"/>
      <c r="C233" s="430"/>
      <c r="D233" s="429"/>
      <c r="E233" s="430"/>
      <c r="F233" s="429"/>
      <c r="G233" s="429"/>
      <c r="H233" s="430"/>
      <c r="I233" s="429"/>
      <c r="J233" s="429"/>
      <c r="K233" s="429"/>
      <c r="L233" s="383"/>
      <c r="M233" s="383" t="s">
        <v>355</v>
      </c>
      <c r="N233" s="383" t="s">
        <v>356</v>
      </c>
      <c r="O233" s="383" t="s">
        <v>357</v>
      </c>
      <c r="P233" s="383" t="s">
        <v>970</v>
      </c>
      <c r="Q233" s="383"/>
      <c r="R233" s="431">
        <v>2132000</v>
      </c>
      <c r="S233" s="158">
        <v>0</v>
      </c>
      <c r="T233" s="158">
        <v>0</v>
      </c>
      <c r="U233" s="158">
        <v>0</v>
      </c>
      <c r="V233" s="158">
        <v>0</v>
      </c>
      <c r="W233" s="158">
        <v>0</v>
      </c>
      <c r="X233" s="158">
        <v>0</v>
      </c>
      <c r="Y233" s="158">
        <v>0</v>
      </c>
      <c r="Z233" s="158">
        <v>0</v>
      </c>
      <c r="AA233" s="432">
        <v>0</v>
      </c>
      <c r="AB233" s="432">
        <v>0</v>
      </c>
      <c r="AC233" s="432">
        <v>0</v>
      </c>
      <c r="AD233" s="432">
        <v>0</v>
      </c>
      <c r="AE233" s="432">
        <v>0</v>
      </c>
      <c r="AF233" s="432">
        <v>0</v>
      </c>
      <c r="AG233" s="432">
        <v>0</v>
      </c>
      <c r="AH233" s="432">
        <v>0</v>
      </c>
      <c r="AI233" s="158">
        <v>2132020</v>
      </c>
      <c r="AJ233" s="158">
        <v>0</v>
      </c>
      <c r="AK233" s="158">
        <v>2132020</v>
      </c>
      <c r="AL233" s="158">
        <v>2132020</v>
      </c>
      <c r="AM233" s="158">
        <v>13503600</v>
      </c>
      <c r="AN233" s="158">
        <v>2132020</v>
      </c>
      <c r="AO233" s="158">
        <v>2132020</v>
      </c>
      <c r="AP233" s="158">
        <v>2132000</v>
      </c>
      <c r="AQ233" s="432">
        <v>0</v>
      </c>
      <c r="AR233" s="432">
        <v>0</v>
      </c>
      <c r="AS233" s="432">
        <v>0</v>
      </c>
      <c r="AT233" s="432">
        <v>0</v>
      </c>
      <c r="AU233" s="432">
        <v>0</v>
      </c>
      <c r="AV233" s="432">
        <v>0</v>
      </c>
      <c r="AW233" s="432">
        <v>0</v>
      </c>
      <c r="AX233" s="432">
        <v>0</v>
      </c>
      <c r="AY233" s="158">
        <v>0</v>
      </c>
      <c r="AZ233" s="158">
        <v>0</v>
      </c>
      <c r="BA233" s="158">
        <v>0</v>
      </c>
      <c r="BB233" s="158">
        <v>0</v>
      </c>
      <c r="BC233" s="158">
        <v>0</v>
      </c>
      <c r="BD233" s="158">
        <v>0</v>
      </c>
      <c r="BE233" s="158">
        <v>0</v>
      </c>
      <c r="BF233" s="160">
        <v>0</v>
      </c>
      <c r="BG233" s="383">
        <v>2023</v>
      </c>
      <c r="BH233" s="383">
        <v>1</v>
      </c>
      <c r="BI233" s="383">
        <v>19</v>
      </c>
      <c r="BK233" s="147" t="str">
        <f>IF(R233=SUM(Z233,AH233,AP233,AX233,BF233),"○","×")</f>
        <v>○</v>
      </c>
    </row>
    <row r="234" spans="1:63" x14ac:dyDescent="0.2">
      <c r="A234" s="428">
        <v>1424</v>
      </c>
      <c r="B234" s="429"/>
      <c r="C234" s="430"/>
      <c r="D234" s="429"/>
      <c r="E234" s="430"/>
      <c r="F234" s="429"/>
      <c r="G234" s="429"/>
      <c r="H234" s="430"/>
      <c r="I234" s="429"/>
      <c r="J234" s="429"/>
      <c r="K234" s="429"/>
      <c r="L234" s="383"/>
      <c r="M234" s="383" t="s">
        <v>672</v>
      </c>
      <c r="N234" s="383" t="s">
        <v>547</v>
      </c>
      <c r="O234" s="383" t="s">
        <v>652</v>
      </c>
      <c r="P234" s="383" t="s">
        <v>970</v>
      </c>
      <c r="Q234" s="383"/>
      <c r="R234" s="431">
        <v>121000</v>
      </c>
      <c r="S234" s="158">
        <v>0</v>
      </c>
      <c r="T234" s="158">
        <v>0</v>
      </c>
      <c r="U234" s="158">
        <v>0</v>
      </c>
      <c r="V234" s="158">
        <v>0</v>
      </c>
      <c r="W234" s="158">
        <v>0</v>
      </c>
      <c r="X234" s="158">
        <v>0</v>
      </c>
      <c r="Y234" s="158">
        <v>0</v>
      </c>
      <c r="Z234" s="158">
        <v>0</v>
      </c>
      <c r="AA234" s="432">
        <v>0</v>
      </c>
      <c r="AB234" s="432">
        <v>0</v>
      </c>
      <c r="AC234" s="432">
        <v>0</v>
      </c>
      <c r="AD234" s="432">
        <v>0</v>
      </c>
      <c r="AE234" s="432">
        <v>0</v>
      </c>
      <c r="AF234" s="432">
        <v>0</v>
      </c>
      <c r="AG234" s="432">
        <v>0</v>
      </c>
      <c r="AH234" s="432">
        <v>0</v>
      </c>
      <c r="AI234" s="158">
        <v>121935</v>
      </c>
      <c r="AJ234" s="158">
        <v>0</v>
      </c>
      <c r="AK234" s="158">
        <v>121935</v>
      </c>
      <c r="AL234" s="158">
        <v>121935</v>
      </c>
      <c r="AM234" s="158">
        <v>1382400</v>
      </c>
      <c r="AN234" s="158">
        <v>121935</v>
      </c>
      <c r="AO234" s="158">
        <v>121935</v>
      </c>
      <c r="AP234" s="158">
        <v>121000</v>
      </c>
      <c r="AQ234" s="432">
        <v>0</v>
      </c>
      <c r="AR234" s="432">
        <v>0</v>
      </c>
      <c r="AS234" s="432">
        <v>0</v>
      </c>
      <c r="AT234" s="432">
        <v>0</v>
      </c>
      <c r="AU234" s="432">
        <v>0</v>
      </c>
      <c r="AV234" s="432">
        <v>0</v>
      </c>
      <c r="AW234" s="432">
        <v>0</v>
      </c>
      <c r="AX234" s="432">
        <v>0</v>
      </c>
      <c r="AY234" s="158">
        <v>0</v>
      </c>
      <c r="AZ234" s="158">
        <v>0</v>
      </c>
      <c r="BA234" s="158">
        <v>0</v>
      </c>
      <c r="BB234" s="158">
        <v>0</v>
      </c>
      <c r="BC234" s="158">
        <v>0</v>
      </c>
      <c r="BD234" s="158">
        <v>0</v>
      </c>
      <c r="BE234" s="158">
        <v>0</v>
      </c>
      <c r="BF234" s="160">
        <v>0</v>
      </c>
      <c r="BG234" s="383">
        <v>2023</v>
      </c>
      <c r="BH234" s="383">
        <v>1</v>
      </c>
      <c r="BI234" s="383">
        <v>19</v>
      </c>
      <c r="BK234" s="147" t="str">
        <f>IF(R234=SUM(Z234,AH234,AP234,AX234,BF234),"○","×")</f>
        <v>○</v>
      </c>
    </row>
    <row r="235" spans="1:63" x14ac:dyDescent="0.2">
      <c r="A235" s="428">
        <v>1425</v>
      </c>
      <c r="B235" s="429"/>
      <c r="C235" s="430"/>
      <c r="D235" s="429"/>
      <c r="E235" s="430"/>
      <c r="F235" s="429"/>
      <c r="G235" s="429"/>
      <c r="H235" s="430"/>
      <c r="I235" s="429"/>
      <c r="J235" s="429"/>
      <c r="K235" s="429"/>
      <c r="L235" s="383"/>
      <c r="M235" s="383" t="s">
        <v>673</v>
      </c>
      <c r="N235" s="383" t="s">
        <v>326</v>
      </c>
      <c r="O235" s="383" t="s">
        <v>674</v>
      </c>
      <c r="P235" s="383" t="s">
        <v>970</v>
      </c>
      <c r="Q235" s="383"/>
      <c r="R235" s="431">
        <v>351000</v>
      </c>
      <c r="S235" s="158">
        <v>0</v>
      </c>
      <c r="T235" s="158">
        <v>0</v>
      </c>
      <c r="U235" s="158">
        <v>0</v>
      </c>
      <c r="V235" s="158">
        <v>0</v>
      </c>
      <c r="W235" s="158">
        <v>0</v>
      </c>
      <c r="X235" s="158">
        <v>0</v>
      </c>
      <c r="Y235" s="158">
        <v>0</v>
      </c>
      <c r="Z235" s="158">
        <v>0</v>
      </c>
      <c r="AA235" s="432">
        <v>0</v>
      </c>
      <c r="AB235" s="432">
        <v>0</v>
      </c>
      <c r="AC235" s="432">
        <v>0</v>
      </c>
      <c r="AD235" s="432">
        <v>0</v>
      </c>
      <c r="AE235" s="432">
        <v>0</v>
      </c>
      <c r="AF235" s="432">
        <v>0</v>
      </c>
      <c r="AG235" s="432">
        <v>0</v>
      </c>
      <c r="AH235" s="432">
        <v>0</v>
      </c>
      <c r="AI235" s="158">
        <v>351560</v>
      </c>
      <c r="AJ235" s="158">
        <v>0</v>
      </c>
      <c r="AK235" s="158">
        <v>351560</v>
      </c>
      <c r="AL235" s="158">
        <v>351560</v>
      </c>
      <c r="AM235" s="158">
        <v>3024000</v>
      </c>
      <c r="AN235" s="158">
        <v>351560</v>
      </c>
      <c r="AO235" s="158">
        <v>351560</v>
      </c>
      <c r="AP235" s="158">
        <v>351000</v>
      </c>
      <c r="AQ235" s="432">
        <v>0</v>
      </c>
      <c r="AR235" s="432">
        <v>0</v>
      </c>
      <c r="AS235" s="432">
        <v>0</v>
      </c>
      <c r="AT235" s="432">
        <v>0</v>
      </c>
      <c r="AU235" s="432">
        <v>0</v>
      </c>
      <c r="AV235" s="432">
        <v>0</v>
      </c>
      <c r="AW235" s="432">
        <v>0</v>
      </c>
      <c r="AX235" s="432">
        <v>0</v>
      </c>
      <c r="AY235" s="158">
        <v>0</v>
      </c>
      <c r="AZ235" s="158">
        <v>0</v>
      </c>
      <c r="BA235" s="158">
        <v>0</v>
      </c>
      <c r="BB235" s="158">
        <v>0</v>
      </c>
      <c r="BC235" s="158">
        <v>0</v>
      </c>
      <c r="BD235" s="158">
        <v>0</v>
      </c>
      <c r="BE235" s="158">
        <v>0</v>
      </c>
      <c r="BF235" s="160">
        <v>0</v>
      </c>
      <c r="BG235" s="383">
        <v>2023</v>
      </c>
      <c r="BH235" s="383">
        <v>1</v>
      </c>
      <c r="BI235" s="383">
        <v>19</v>
      </c>
      <c r="BK235" s="147" t="str">
        <f>IF(R235=SUM(Z235,AH235,AP235,AX235,BF235),"○","×")</f>
        <v>○</v>
      </c>
    </row>
    <row r="236" spans="1:63" x14ac:dyDescent="0.2">
      <c r="A236" s="428">
        <v>1426</v>
      </c>
      <c r="B236" s="429"/>
      <c r="C236" s="430"/>
      <c r="D236" s="429"/>
      <c r="E236" s="430"/>
      <c r="F236" s="429"/>
      <c r="G236" s="429"/>
      <c r="H236" s="430"/>
      <c r="I236" s="429"/>
      <c r="J236" s="429"/>
      <c r="K236" s="429"/>
      <c r="L236" s="383"/>
      <c r="M236" s="383" t="s">
        <v>469</v>
      </c>
      <c r="N236" s="383" t="s">
        <v>470</v>
      </c>
      <c r="O236" s="383" t="s">
        <v>333</v>
      </c>
      <c r="P236" s="383" t="s">
        <v>970</v>
      </c>
      <c r="Q236" s="383"/>
      <c r="R236" s="431">
        <v>82000</v>
      </c>
      <c r="S236" s="158">
        <v>0</v>
      </c>
      <c r="T236" s="158">
        <v>0</v>
      </c>
      <c r="U236" s="158">
        <v>0</v>
      </c>
      <c r="V236" s="158">
        <v>0</v>
      </c>
      <c r="W236" s="158">
        <v>0</v>
      </c>
      <c r="X236" s="158">
        <v>0</v>
      </c>
      <c r="Y236" s="158">
        <v>0</v>
      </c>
      <c r="Z236" s="158">
        <v>0</v>
      </c>
      <c r="AA236" s="432">
        <v>0</v>
      </c>
      <c r="AB236" s="432">
        <v>0</v>
      </c>
      <c r="AC236" s="432">
        <v>0</v>
      </c>
      <c r="AD236" s="432">
        <v>0</v>
      </c>
      <c r="AE236" s="432">
        <v>0</v>
      </c>
      <c r="AF236" s="432">
        <v>0</v>
      </c>
      <c r="AG236" s="432">
        <v>0</v>
      </c>
      <c r="AH236" s="432">
        <v>0</v>
      </c>
      <c r="AI236" s="158">
        <v>82991</v>
      </c>
      <c r="AJ236" s="158">
        <v>0</v>
      </c>
      <c r="AK236" s="158">
        <v>82991</v>
      </c>
      <c r="AL236" s="158">
        <v>82991</v>
      </c>
      <c r="AM236" s="158">
        <v>1512000</v>
      </c>
      <c r="AN236" s="158">
        <v>82991</v>
      </c>
      <c r="AO236" s="158">
        <v>82991</v>
      </c>
      <c r="AP236" s="158">
        <v>82000</v>
      </c>
      <c r="AQ236" s="432">
        <v>0</v>
      </c>
      <c r="AR236" s="432">
        <v>0</v>
      </c>
      <c r="AS236" s="432">
        <v>0</v>
      </c>
      <c r="AT236" s="432">
        <v>0</v>
      </c>
      <c r="AU236" s="432">
        <v>0</v>
      </c>
      <c r="AV236" s="432">
        <v>0</v>
      </c>
      <c r="AW236" s="432">
        <v>0</v>
      </c>
      <c r="AX236" s="432">
        <v>0</v>
      </c>
      <c r="AY236" s="158">
        <v>0</v>
      </c>
      <c r="AZ236" s="158">
        <v>0</v>
      </c>
      <c r="BA236" s="158">
        <v>0</v>
      </c>
      <c r="BB236" s="158">
        <v>0</v>
      </c>
      <c r="BC236" s="158">
        <v>0</v>
      </c>
      <c r="BD236" s="158">
        <v>0</v>
      </c>
      <c r="BE236" s="158">
        <v>0</v>
      </c>
      <c r="BF236" s="160">
        <v>0</v>
      </c>
      <c r="BG236" s="383">
        <v>2023</v>
      </c>
      <c r="BH236" s="383">
        <v>1</v>
      </c>
      <c r="BI236" s="383">
        <v>19</v>
      </c>
      <c r="BK236" s="147" t="str">
        <f>IF(R236=SUM(Z236,AH236,AP236,AX236,BF236),"○","×")</f>
        <v>○</v>
      </c>
    </row>
    <row r="237" spans="1:63" x14ac:dyDescent="0.2">
      <c r="A237" s="428">
        <v>1428</v>
      </c>
      <c r="B237" s="429"/>
      <c r="C237" s="430"/>
      <c r="D237" s="429"/>
      <c r="E237" s="430"/>
      <c r="F237" s="429"/>
      <c r="G237" s="429"/>
      <c r="H237" s="430"/>
      <c r="I237" s="429"/>
      <c r="J237" s="429"/>
      <c r="K237" s="429"/>
      <c r="L237" s="383"/>
      <c r="M237" s="383" t="s">
        <v>422</v>
      </c>
      <c r="N237" s="383" t="s">
        <v>323</v>
      </c>
      <c r="O237" s="383" t="s">
        <v>423</v>
      </c>
      <c r="P237" s="383" t="s">
        <v>971</v>
      </c>
      <c r="Q237" s="383"/>
      <c r="R237" s="431">
        <v>152000</v>
      </c>
      <c r="S237" s="158">
        <v>0</v>
      </c>
      <c r="T237" s="158">
        <v>0</v>
      </c>
      <c r="U237" s="158">
        <v>0</v>
      </c>
      <c r="V237" s="158">
        <v>0</v>
      </c>
      <c r="W237" s="158">
        <v>0</v>
      </c>
      <c r="X237" s="158">
        <v>0</v>
      </c>
      <c r="Y237" s="158">
        <v>0</v>
      </c>
      <c r="Z237" s="158">
        <v>0</v>
      </c>
      <c r="AA237" s="432">
        <v>0</v>
      </c>
      <c r="AB237" s="432">
        <v>0</v>
      </c>
      <c r="AC237" s="432">
        <v>0</v>
      </c>
      <c r="AD237" s="432">
        <v>0</v>
      </c>
      <c r="AE237" s="432">
        <v>0</v>
      </c>
      <c r="AF237" s="432">
        <v>0</v>
      </c>
      <c r="AG237" s="432">
        <v>0</v>
      </c>
      <c r="AH237" s="432">
        <v>0</v>
      </c>
      <c r="AI237" s="158">
        <v>152900</v>
      </c>
      <c r="AJ237" s="158">
        <v>0</v>
      </c>
      <c r="AK237" s="158">
        <v>152900</v>
      </c>
      <c r="AL237" s="158">
        <v>152900</v>
      </c>
      <c r="AM237" s="158">
        <v>10368000</v>
      </c>
      <c r="AN237" s="158">
        <v>152900</v>
      </c>
      <c r="AO237" s="158">
        <v>152900</v>
      </c>
      <c r="AP237" s="158">
        <v>152000</v>
      </c>
      <c r="AQ237" s="432">
        <v>0</v>
      </c>
      <c r="AR237" s="432">
        <v>0</v>
      </c>
      <c r="AS237" s="432">
        <v>0</v>
      </c>
      <c r="AT237" s="432">
        <v>0</v>
      </c>
      <c r="AU237" s="432">
        <v>0</v>
      </c>
      <c r="AV237" s="432">
        <v>0</v>
      </c>
      <c r="AW237" s="432">
        <v>0</v>
      </c>
      <c r="AX237" s="432">
        <v>0</v>
      </c>
      <c r="AY237" s="158">
        <v>0</v>
      </c>
      <c r="AZ237" s="158">
        <v>0</v>
      </c>
      <c r="BA237" s="158">
        <v>0</v>
      </c>
      <c r="BB237" s="158">
        <v>0</v>
      </c>
      <c r="BC237" s="158">
        <v>0</v>
      </c>
      <c r="BD237" s="158">
        <v>0</v>
      </c>
      <c r="BE237" s="158">
        <v>0</v>
      </c>
      <c r="BF237" s="160">
        <v>0</v>
      </c>
      <c r="BG237" s="383">
        <v>2023</v>
      </c>
      <c r="BH237" s="383">
        <v>1</v>
      </c>
      <c r="BI237" s="383">
        <v>19</v>
      </c>
      <c r="BK237" s="147" t="str">
        <f>IF(R237=SUM(Z237,AH237,AP237,AX237,BF237),"○","×")</f>
        <v>○</v>
      </c>
    </row>
    <row r="238" spans="1:63" x14ac:dyDescent="0.2">
      <c r="A238" s="428">
        <v>1429</v>
      </c>
      <c r="B238" s="429"/>
      <c r="C238" s="430"/>
      <c r="D238" s="429"/>
      <c r="E238" s="430"/>
      <c r="F238" s="429"/>
      <c r="G238" s="429"/>
      <c r="H238" s="430"/>
      <c r="I238" s="429"/>
      <c r="J238" s="429"/>
      <c r="K238" s="429"/>
      <c r="L238" s="383"/>
      <c r="M238" s="383" t="s">
        <v>589</v>
      </c>
      <c r="N238" s="383" t="s">
        <v>353</v>
      </c>
      <c r="O238" s="383" t="s">
        <v>590</v>
      </c>
      <c r="P238" s="383" t="s">
        <v>970</v>
      </c>
      <c r="Q238" s="383"/>
      <c r="R238" s="431">
        <v>885000</v>
      </c>
      <c r="S238" s="158">
        <v>0</v>
      </c>
      <c r="T238" s="158">
        <v>0</v>
      </c>
      <c r="U238" s="158">
        <v>0</v>
      </c>
      <c r="V238" s="158">
        <v>0</v>
      </c>
      <c r="W238" s="158">
        <v>0</v>
      </c>
      <c r="X238" s="158">
        <v>0</v>
      </c>
      <c r="Y238" s="158">
        <v>0</v>
      </c>
      <c r="Z238" s="158">
        <v>0</v>
      </c>
      <c r="AA238" s="432">
        <v>0</v>
      </c>
      <c r="AB238" s="432">
        <v>0</v>
      </c>
      <c r="AC238" s="432">
        <v>0</v>
      </c>
      <c r="AD238" s="432">
        <v>0</v>
      </c>
      <c r="AE238" s="432">
        <v>0</v>
      </c>
      <c r="AF238" s="432">
        <v>0</v>
      </c>
      <c r="AG238" s="432">
        <v>0</v>
      </c>
      <c r="AH238" s="432">
        <v>0</v>
      </c>
      <c r="AI238" s="158">
        <v>885150</v>
      </c>
      <c r="AJ238" s="158">
        <v>0</v>
      </c>
      <c r="AK238" s="158">
        <v>885150</v>
      </c>
      <c r="AL238" s="158">
        <v>885150</v>
      </c>
      <c r="AM238" s="158">
        <v>3931200</v>
      </c>
      <c r="AN238" s="158">
        <v>885150</v>
      </c>
      <c r="AO238" s="158">
        <v>885150</v>
      </c>
      <c r="AP238" s="158">
        <v>885000</v>
      </c>
      <c r="AQ238" s="432">
        <v>0</v>
      </c>
      <c r="AR238" s="432">
        <v>0</v>
      </c>
      <c r="AS238" s="432">
        <v>0</v>
      </c>
      <c r="AT238" s="432">
        <v>0</v>
      </c>
      <c r="AU238" s="432">
        <v>0</v>
      </c>
      <c r="AV238" s="432">
        <v>0</v>
      </c>
      <c r="AW238" s="432">
        <v>0</v>
      </c>
      <c r="AX238" s="432">
        <v>0</v>
      </c>
      <c r="AY238" s="158">
        <v>0</v>
      </c>
      <c r="AZ238" s="158">
        <v>0</v>
      </c>
      <c r="BA238" s="158">
        <v>0</v>
      </c>
      <c r="BB238" s="158">
        <v>0</v>
      </c>
      <c r="BC238" s="158">
        <v>0</v>
      </c>
      <c r="BD238" s="158">
        <v>0</v>
      </c>
      <c r="BE238" s="158">
        <v>0</v>
      </c>
      <c r="BF238" s="160">
        <v>0</v>
      </c>
      <c r="BG238" s="383">
        <v>2023</v>
      </c>
      <c r="BH238" s="383">
        <v>1</v>
      </c>
      <c r="BI238" s="383">
        <v>19</v>
      </c>
      <c r="BK238" s="147" t="str">
        <f>IF(R238=SUM(Z238,AH238,AP238,AX238,BF238),"○","×")</f>
        <v>○</v>
      </c>
    </row>
    <row r="239" spans="1:63" x14ac:dyDescent="0.2">
      <c r="A239" s="428">
        <v>1430</v>
      </c>
      <c r="B239" s="429"/>
      <c r="C239" s="430"/>
      <c r="D239" s="429"/>
      <c r="E239" s="430"/>
      <c r="F239" s="429"/>
      <c r="G239" s="429"/>
      <c r="H239" s="430"/>
      <c r="I239" s="429"/>
      <c r="J239" s="429"/>
      <c r="K239" s="429"/>
      <c r="L239" s="383"/>
      <c r="M239" s="383" t="s">
        <v>366</v>
      </c>
      <c r="N239" s="383" t="s">
        <v>367</v>
      </c>
      <c r="O239" s="383" t="s">
        <v>368</v>
      </c>
      <c r="P239" s="383" t="s">
        <v>970</v>
      </c>
      <c r="Q239" s="383"/>
      <c r="R239" s="431">
        <v>548000</v>
      </c>
      <c r="S239" s="158">
        <v>0</v>
      </c>
      <c r="T239" s="158">
        <v>0</v>
      </c>
      <c r="U239" s="158">
        <v>0</v>
      </c>
      <c r="V239" s="158">
        <v>0</v>
      </c>
      <c r="W239" s="158">
        <v>0</v>
      </c>
      <c r="X239" s="158">
        <v>0</v>
      </c>
      <c r="Y239" s="158">
        <v>0</v>
      </c>
      <c r="Z239" s="158">
        <v>0</v>
      </c>
      <c r="AA239" s="432">
        <v>0</v>
      </c>
      <c r="AB239" s="432">
        <v>0</v>
      </c>
      <c r="AC239" s="432">
        <v>0</v>
      </c>
      <c r="AD239" s="432">
        <v>0</v>
      </c>
      <c r="AE239" s="432">
        <v>0</v>
      </c>
      <c r="AF239" s="432">
        <v>0</v>
      </c>
      <c r="AG239" s="432">
        <v>0</v>
      </c>
      <c r="AH239" s="432">
        <v>0</v>
      </c>
      <c r="AI239" s="158">
        <v>548012</v>
      </c>
      <c r="AJ239" s="158">
        <v>0</v>
      </c>
      <c r="AK239" s="158">
        <v>548012</v>
      </c>
      <c r="AL239" s="158">
        <v>548012</v>
      </c>
      <c r="AM239" s="158">
        <v>3628800</v>
      </c>
      <c r="AN239" s="158">
        <v>548012</v>
      </c>
      <c r="AO239" s="158">
        <v>548012</v>
      </c>
      <c r="AP239" s="158">
        <v>548000</v>
      </c>
      <c r="AQ239" s="432">
        <v>0</v>
      </c>
      <c r="AR239" s="432">
        <v>0</v>
      </c>
      <c r="AS239" s="432">
        <v>0</v>
      </c>
      <c r="AT239" s="432">
        <v>0</v>
      </c>
      <c r="AU239" s="432">
        <v>0</v>
      </c>
      <c r="AV239" s="432">
        <v>0</v>
      </c>
      <c r="AW239" s="432">
        <v>0</v>
      </c>
      <c r="AX239" s="432">
        <v>0</v>
      </c>
      <c r="AY239" s="158">
        <v>0</v>
      </c>
      <c r="AZ239" s="158">
        <v>0</v>
      </c>
      <c r="BA239" s="158">
        <v>0</v>
      </c>
      <c r="BB239" s="158">
        <v>0</v>
      </c>
      <c r="BC239" s="158">
        <v>0</v>
      </c>
      <c r="BD239" s="158">
        <v>0</v>
      </c>
      <c r="BE239" s="158">
        <v>0</v>
      </c>
      <c r="BF239" s="160">
        <v>0</v>
      </c>
      <c r="BG239" s="383">
        <v>2023</v>
      </c>
      <c r="BH239" s="383">
        <v>1</v>
      </c>
      <c r="BI239" s="383">
        <v>19</v>
      </c>
      <c r="BK239" s="147" t="str">
        <f>IF(R239=SUM(Z239,AH239,AP239,AX239,BF239),"○","×")</f>
        <v>○</v>
      </c>
    </row>
    <row r="240" spans="1:63" x14ac:dyDescent="0.2">
      <c r="A240" s="428">
        <v>1431</v>
      </c>
      <c r="B240" s="429"/>
      <c r="C240" s="430"/>
      <c r="D240" s="429"/>
      <c r="E240" s="430"/>
      <c r="F240" s="429"/>
      <c r="G240" s="429"/>
      <c r="H240" s="430"/>
      <c r="I240" s="429"/>
      <c r="J240" s="429"/>
      <c r="K240" s="429"/>
      <c r="L240" s="383"/>
      <c r="M240" s="383" t="s">
        <v>459</v>
      </c>
      <c r="N240" s="383" t="s">
        <v>367</v>
      </c>
      <c r="O240" s="383" t="s">
        <v>460</v>
      </c>
      <c r="P240" s="383" t="s">
        <v>970</v>
      </c>
      <c r="Q240" s="383"/>
      <c r="R240" s="431">
        <v>217000</v>
      </c>
      <c r="S240" s="158">
        <v>0</v>
      </c>
      <c r="T240" s="158">
        <v>0</v>
      </c>
      <c r="U240" s="158">
        <v>0</v>
      </c>
      <c r="V240" s="158">
        <v>0</v>
      </c>
      <c r="W240" s="158">
        <v>0</v>
      </c>
      <c r="X240" s="158">
        <v>0</v>
      </c>
      <c r="Y240" s="158">
        <v>0</v>
      </c>
      <c r="Z240" s="158">
        <v>0</v>
      </c>
      <c r="AA240" s="432">
        <v>0</v>
      </c>
      <c r="AB240" s="432">
        <v>0</v>
      </c>
      <c r="AC240" s="432">
        <v>0</v>
      </c>
      <c r="AD240" s="432">
        <v>0</v>
      </c>
      <c r="AE240" s="432">
        <v>0</v>
      </c>
      <c r="AF240" s="432">
        <v>0</v>
      </c>
      <c r="AG240" s="432">
        <v>0</v>
      </c>
      <c r="AH240" s="432">
        <v>0</v>
      </c>
      <c r="AI240" s="158">
        <v>217032</v>
      </c>
      <c r="AJ240" s="158">
        <v>0</v>
      </c>
      <c r="AK240" s="158">
        <v>217032</v>
      </c>
      <c r="AL240" s="158">
        <v>217032</v>
      </c>
      <c r="AM240" s="158">
        <v>1965600</v>
      </c>
      <c r="AN240" s="158">
        <v>217032</v>
      </c>
      <c r="AO240" s="158">
        <v>217032</v>
      </c>
      <c r="AP240" s="158">
        <v>217000</v>
      </c>
      <c r="AQ240" s="432">
        <v>0</v>
      </c>
      <c r="AR240" s="432">
        <v>0</v>
      </c>
      <c r="AS240" s="432">
        <v>0</v>
      </c>
      <c r="AT240" s="432">
        <v>0</v>
      </c>
      <c r="AU240" s="432">
        <v>0</v>
      </c>
      <c r="AV240" s="432">
        <v>0</v>
      </c>
      <c r="AW240" s="432">
        <v>0</v>
      </c>
      <c r="AX240" s="432">
        <v>0</v>
      </c>
      <c r="AY240" s="158">
        <v>0</v>
      </c>
      <c r="AZ240" s="158">
        <v>0</v>
      </c>
      <c r="BA240" s="158">
        <v>0</v>
      </c>
      <c r="BB240" s="158">
        <v>0</v>
      </c>
      <c r="BC240" s="158">
        <v>0</v>
      </c>
      <c r="BD240" s="158">
        <v>0</v>
      </c>
      <c r="BE240" s="158">
        <v>0</v>
      </c>
      <c r="BF240" s="160">
        <v>0</v>
      </c>
      <c r="BG240" s="383">
        <v>2023</v>
      </c>
      <c r="BH240" s="383">
        <v>1</v>
      </c>
      <c r="BI240" s="383">
        <v>19</v>
      </c>
      <c r="BK240" s="147" t="str">
        <f>IF(R240=SUM(Z240,AH240,AP240,AX240,BF240),"○","×")</f>
        <v>○</v>
      </c>
    </row>
    <row r="241" spans="1:63" s="152" customFormat="1" x14ac:dyDescent="0.2">
      <c r="A241" s="428">
        <v>1432</v>
      </c>
      <c r="B241" s="429"/>
      <c r="C241" s="430"/>
      <c r="D241" s="429"/>
      <c r="E241" s="430"/>
      <c r="F241" s="429"/>
      <c r="G241" s="429"/>
      <c r="H241" s="430"/>
      <c r="I241" s="429"/>
      <c r="J241" s="429"/>
      <c r="K241" s="429"/>
      <c r="L241" s="383"/>
      <c r="M241" s="383" t="s">
        <v>675</v>
      </c>
      <c r="N241" s="383" t="s">
        <v>360</v>
      </c>
      <c r="O241" s="383" t="s">
        <v>676</v>
      </c>
      <c r="P241" s="383" t="s">
        <v>970</v>
      </c>
      <c r="Q241" s="383"/>
      <c r="R241" s="431">
        <v>184000</v>
      </c>
      <c r="S241" s="158">
        <v>0</v>
      </c>
      <c r="T241" s="158">
        <v>0</v>
      </c>
      <c r="U241" s="158">
        <v>0</v>
      </c>
      <c r="V241" s="158">
        <v>0</v>
      </c>
      <c r="W241" s="158">
        <v>0</v>
      </c>
      <c r="X241" s="158">
        <v>0</v>
      </c>
      <c r="Y241" s="158">
        <v>0</v>
      </c>
      <c r="Z241" s="158">
        <v>0</v>
      </c>
      <c r="AA241" s="432">
        <v>0</v>
      </c>
      <c r="AB241" s="432">
        <v>0</v>
      </c>
      <c r="AC241" s="432">
        <v>0</v>
      </c>
      <c r="AD241" s="432">
        <v>0</v>
      </c>
      <c r="AE241" s="432">
        <v>0</v>
      </c>
      <c r="AF241" s="432">
        <v>0</v>
      </c>
      <c r="AG241" s="432">
        <v>0</v>
      </c>
      <c r="AH241" s="432">
        <v>0</v>
      </c>
      <c r="AI241" s="158">
        <v>184755</v>
      </c>
      <c r="AJ241" s="158">
        <v>0</v>
      </c>
      <c r="AK241" s="158">
        <v>184755</v>
      </c>
      <c r="AL241" s="158">
        <v>184755</v>
      </c>
      <c r="AM241" s="158">
        <v>1713600</v>
      </c>
      <c r="AN241" s="158">
        <v>184755</v>
      </c>
      <c r="AO241" s="158">
        <v>184755</v>
      </c>
      <c r="AP241" s="158">
        <v>184000</v>
      </c>
      <c r="AQ241" s="432">
        <v>0</v>
      </c>
      <c r="AR241" s="432">
        <v>0</v>
      </c>
      <c r="AS241" s="432">
        <v>0</v>
      </c>
      <c r="AT241" s="432">
        <v>0</v>
      </c>
      <c r="AU241" s="432">
        <v>0</v>
      </c>
      <c r="AV241" s="432">
        <v>0</v>
      </c>
      <c r="AW241" s="432">
        <v>0</v>
      </c>
      <c r="AX241" s="432">
        <v>0</v>
      </c>
      <c r="AY241" s="158">
        <v>0</v>
      </c>
      <c r="AZ241" s="158">
        <v>0</v>
      </c>
      <c r="BA241" s="158">
        <v>0</v>
      </c>
      <c r="BB241" s="158">
        <v>0</v>
      </c>
      <c r="BC241" s="158">
        <v>0</v>
      </c>
      <c r="BD241" s="158">
        <v>0</v>
      </c>
      <c r="BE241" s="158">
        <v>0</v>
      </c>
      <c r="BF241" s="160">
        <v>0</v>
      </c>
      <c r="BG241" s="383">
        <v>2023</v>
      </c>
      <c r="BH241" s="383">
        <v>1</v>
      </c>
      <c r="BI241" s="383">
        <v>19</v>
      </c>
      <c r="BJ241" s="148"/>
      <c r="BK241" s="147" t="str">
        <f>IF(R241=SUM(Z241,AH241,AP241,AX241,BF241),"○","×")</f>
        <v>○</v>
      </c>
    </row>
    <row r="242" spans="1:63" x14ac:dyDescent="0.2">
      <c r="A242" s="428">
        <v>1433</v>
      </c>
      <c r="B242" s="429"/>
      <c r="C242" s="430"/>
      <c r="D242" s="429"/>
      <c r="E242" s="430"/>
      <c r="F242" s="429"/>
      <c r="G242" s="429"/>
      <c r="H242" s="430"/>
      <c r="I242" s="429"/>
      <c r="J242" s="429"/>
      <c r="K242" s="429"/>
      <c r="L242" s="383"/>
      <c r="M242" s="383" t="s">
        <v>677</v>
      </c>
      <c r="N242" s="383" t="s">
        <v>360</v>
      </c>
      <c r="O242" s="383" t="s">
        <v>498</v>
      </c>
      <c r="P242" s="383" t="s">
        <v>970</v>
      </c>
      <c r="Q242" s="383"/>
      <c r="R242" s="431">
        <v>636000</v>
      </c>
      <c r="S242" s="158">
        <v>0</v>
      </c>
      <c r="T242" s="158">
        <v>0</v>
      </c>
      <c r="U242" s="158">
        <v>0</v>
      </c>
      <c r="V242" s="158">
        <v>0</v>
      </c>
      <c r="W242" s="158">
        <v>0</v>
      </c>
      <c r="X242" s="158">
        <v>0</v>
      </c>
      <c r="Y242" s="158">
        <v>0</v>
      </c>
      <c r="Z242" s="158">
        <v>0</v>
      </c>
      <c r="AA242" s="432">
        <v>0</v>
      </c>
      <c r="AB242" s="432">
        <v>0</v>
      </c>
      <c r="AC242" s="432">
        <v>0</v>
      </c>
      <c r="AD242" s="432">
        <v>0</v>
      </c>
      <c r="AE242" s="432">
        <v>0</v>
      </c>
      <c r="AF242" s="432">
        <v>0</v>
      </c>
      <c r="AG242" s="432">
        <v>0</v>
      </c>
      <c r="AH242" s="432">
        <v>0</v>
      </c>
      <c r="AI242" s="158">
        <v>636054</v>
      </c>
      <c r="AJ242" s="158">
        <v>0</v>
      </c>
      <c r="AK242" s="158">
        <v>636054</v>
      </c>
      <c r="AL242" s="158">
        <v>636054</v>
      </c>
      <c r="AM242" s="158">
        <v>2196000</v>
      </c>
      <c r="AN242" s="158">
        <v>636054</v>
      </c>
      <c r="AO242" s="158">
        <v>636054</v>
      </c>
      <c r="AP242" s="158">
        <v>636000</v>
      </c>
      <c r="AQ242" s="432">
        <v>0</v>
      </c>
      <c r="AR242" s="432">
        <v>0</v>
      </c>
      <c r="AS242" s="432">
        <v>0</v>
      </c>
      <c r="AT242" s="432">
        <v>0</v>
      </c>
      <c r="AU242" s="432">
        <v>0</v>
      </c>
      <c r="AV242" s="432">
        <v>0</v>
      </c>
      <c r="AW242" s="432">
        <v>0</v>
      </c>
      <c r="AX242" s="432">
        <v>0</v>
      </c>
      <c r="AY242" s="158">
        <v>0</v>
      </c>
      <c r="AZ242" s="158">
        <v>0</v>
      </c>
      <c r="BA242" s="158">
        <v>0</v>
      </c>
      <c r="BB242" s="158">
        <v>0</v>
      </c>
      <c r="BC242" s="158">
        <v>0</v>
      </c>
      <c r="BD242" s="158">
        <v>0</v>
      </c>
      <c r="BE242" s="158">
        <v>0</v>
      </c>
      <c r="BF242" s="160">
        <v>0</v>
      </c>
      <c r="BG242" s="383">
        <v>2023</v>
      </c>
      <c r="BH242" s="383">
        <v>1</v>
      </c>
      <c r="BI242" s="383">
        <v>19</v>
      </c>
      <c r="BK242" s="147" t="str">
        <f>IF(R242=SUM(Z242,AH242,AP242,AX242,BF242),"○","×")</f>
        <v>○</v>
      </c>
    </row>
    <row r="243" spans="1:63" x14ac:dyDescent="0.2">
      <c r="A243" s="428">
        <v>1434</v>
      </c>
      <c r="B243" s="429"/>
      <c r="C243" s="430"/>
      <c r="D243" s="429"/>
      <c r="E243" s="430"/>
      <c r="F243" s="429"/>
      <c r="G243" s="429"/>
      <c r="H243" s="430"/>
      <c r="I243" s="429"/>
      <c r="J243" s="429"/>
      <c r="K243" s="429"/>
      <c r="L243" s="383"/>
      <c r="M243" s="383" t="s">
        <v>678</v>
      </c>
      <c r="N243" s="383" t="s">
        <v>356</v>
      </c>
      <c r="O243" s="383" t="s">
        <v>679</v>
      </c>
      <c r="P243" s="383" t="s">
        <v>970</v>
      </c>
      <c r="Q243" s="383"/>
      <c r="R243" s="431">
        <v>686000</v>
      </c>
      <c r="S243" s="158">
        <v>0</v>
      </c>
      <c r="T243" s="158">
        <v>0</v>
      </c>
      <c r="U243" s="158">
        <v>0</v>
      </c>
      <c r="V243" s="158">
        <v>0</v>
      </c>
      <c r="W243" s="158">
        <v>0</v>
      </c>
      <c r="X243" s="158">
        <v>0</v>
      </c>
      <c r="Y243" s="158">
        <v>0</v>
      </c>
      <c r="Z243" s="158">
        <v>0</v>
      </c>
      <c r="AA243" s="432">
        <v>0</v>
      </c>
      <c r="AB243" s="432">
        <v>0</v>
      </c>
      <c r="AC243" s="432">
        <v>0</v>
      </c>
      <c r="AD243" s="432">
        <v>0</v>
      </c>
      <c r="AE243" s="432">
        <v>0</v>
      </c>
      <c r="AF243" s="432">
        <v>0</v>
      </c>
      <c r="AG243" s="432">
        <v>0</v>
      </c>
      <c r="AH243" s="432">
        <v>0</v>
      </c>
      <c r="AI243" s="158">
        <v>686820</v>
      </c>
      <c r="AJ243" s="158">
        <v>0</v>
      </c>
      <c r="AK243" s="158">
        <v>686820</v>
      </c>
      <c r="AL243" s="158">
        <v>686820</v>
      </c>
      <c r="AM243" s="158">
        <v>4600800</v>
      </c>
      <c r="AN243" s="158">
        <v>686820</v>
      </c>
      <c r="AO243" s="158">
        <v>686820</v>
      </c>
      <c r="AP243" s="158">
        <v>686000</v>
      </c>
      <c r="AQ243" s="432">
        <v>0</v>
      </c>
      <c r="AR243" s="432">
        <v>0</v>
      </c>
      <c r="AS243" s="432">
        <v>0</v>
      </c>
      <c r="AT243" s="432">
        <v>0</v>
      </c>
      <c r="AU243" s="432">
        <v>0</v>
      </c>
      <c r="AV243" s="432">
        <v>0</v>
      </c>
      <c r="AW243" s="432">
        <v>0</v>
      </c>
      <c r="AX243" s="432">
        <v>0</v>
      </c>
      <c r="AY243" s="158">
        <v>0</v>
      </c>
      <c r="AZ243" s="158">
        <v>0</v>
      </c>
      <c r="BA243" s="158">
        <v>0</v>
      </c>
      <c r="BB243" s="158">
        <v>0</v>
      </c>
      <c r="BC243" s="158">
        <v>0</v>
      </c>
      <c r="BD243" s="158">
        <v>0</v>
      </c>
      <c r="BE243" s="158">
        <v>0</v>
      </c>
      <c r="BF243" s="160">
        <v>0</v>
      </c>
      <c r="BG243" s="383">
        <v>2023</v>
      </c>
      <c r="BH243" s="383">
        <v>1</v>
      </c>
      <c r="BI243" s="383">
        <v>19</v>
      </c>
      <c r="BJ243" s="152"/>
      <c r="BK243" s="147" t="str">
        <f>IF(R243=SUM(Z243,AH243,AP243,AX243,BF243),"○","×")</f>
        <v>○</v>
      </c>
    </row>
    <row r="244" spans="1:63" x14ac:dyDescent="0.2">
      <c r="A244" s="428">
        <v>1435</v>
      </c>
      <c r="B244" s="429"/>
      <c r="C244" s="430"/>
      <c r="D244" s="429"/>
      <c r="E244" s="430"/>
      <c r="F244" s="429"/>
      <c r="G244" s="429"/>
      <c r="H244" s="430"/>
      <c r="I244" s="429"/>
      <c r="J244" s="429"/>
      <c r="K244" s="429"/>
      <c r="L244" s="383"/>
      <c r="M244" s="383" t="s">
        <v>680</v>
      </c>
      <c r="N244" s="383" t="s">
        <v>356</v>
      </c>
      <c r="O244" s="383" t="s">
        <v>423</v>
      </c>
      <c r="P244" s="383" t="s">
        <v>970</v>
      </c>
      <c r="Q244" s="383"/>
      <c r="R244" s="431">
        <v>1503000</v>
      </c>
      <c r="S244" s="158">
        <v>0</v>
      </c>
      <c r="T244" s="158">
        <v>0</v>
      </c>
      <c r="U244" s="158">
        <v>0</v>
      </c>
      <c r="V244" s="158">
        <v>0</v>
      </c>
      <c r="W244" s="158">
        <v>0</v>
      </c>
      <c r="X244" s="158">
        <v>0</v>
      </c>
      <c r="Y244" s="158">
        <v>0</v>
      </c>
      <c r="Z244" s="158">
        <v>0</v>
      </c>
      <c r="AA244" s="432">
        <v>0</v>
      </c>
      <c r="AB244" s="432">
        <v>0</v>
      </c>
      <c r="AC244" s="432">
        <v>0</v>
      </c>
      <c r="AD244" s="432">
        <v>0</v>
      </c>
      <c r="AE244" s="432">
        <v>0</v>
      </c>
      <c r="AF244" s="432">
        <v>0</v>
      </c>
      <c r="AG244" s="432">
        <v>0</v>
      </c>
      <c r="AH244" s="432">
        <v>0</v>
      </c>
      <c r="AI244" s="158">
        <v>1503700</v>
      </c>
      <c r="AJ244" s="158">
        <v>0</v>
      </c>
      <c r="AK244" s="158">
        <v>1503700</v>
      </c>
      <c r="AL244" s="158">
        <v>1503700</v>
      </c>
      <c r="AM244" s="158">
        <v>13500000</v>
      </c>
      <c r="AN244" s="158">
        <v>1503700</v>
      </c>
      <c r="AO244" s="158">
        <v>1503700</v>
      </c>
      <c r="AP244" s="158">
        <v>1503000</v>
      </c>
      <c r="AQ244" s="432">
        <v>0</v>
      </c>
      <c r="AR244" s="432">
        <v>0</v>
      </c>
      <c r="AS244" s="432">
        <v>0</v>
      </c>
      <c r="AT244" s="432">
        <v>0</v>
      </c>
      <c r="AU244" s="432">
        <v>0</v>
      </c>
      <c r="AV244" s="432">
        <v>0</v>
      </c>
      <c r="AW244" s="432">
        <v>0</v>
      </c>
      <c r="AX244" s="432">
        <v>0</v>
      </c>
      <c r="AY244" s="158">
        <v>0</v>
      </c>
      <c r="AZ244" s="158">
        <v>0</v>
      </c>
      <c r="BA244" s="158">
        <v>0</v>
      </c>
      <c r="BB244" s="158">
        <v>0</v>
      </c>
      <c r="BC244" s="158">
        <v>0</v>
      </c>
      <c r="BD244" s="158">
        <v>0</v>
      </c>
      <c r="BE244" s="158">
        <v>0</v>
      </c>
      <c r="BF244" s="160">
        <v>0</v>
      </c>
      <c r="BG244" s="383">
        <v>2023</v>
      </c>
      <c r="BH244" s="383">
        <v>1</v>
      </c>
      <c r="BI244" s="383">
        <v>19</v>
      </c>
      <c r="BK244" s="147" t="str">
        <f>IF(R244=SUM(Z244,AH244,AP244,AX244,BF244),"○","×")</f>
        <v>○</v>
      </c>
    </row>
    <row r="245" spans="1:63" x14ac:dyDescent="0.2">
      <c r="A245" s="428">
        <v>1436</v>
      </c>
      <c r="B245" s="429"/>
      <c r="C245" s="430"/>
      <c r="D245" s="429"/>
      <c r="E245" s="430"/>
      <c r="F245" s="429"/>
      <c r="G245" s="429"/>
      <c r="H245" s="430"/>
      <c r="I245" s="429"/>
      <c r="J245" s="429"/>
      <c r="K245" s="429"/>
      <c r="L245" s="383"/>
      <c r="M245" s="383" t="s">
        <v>444</v>
      </c>
      <c r="N245" s="383" t="s">
        <v>323</v>
      </c>
      <c r="O245" s="383" t="s">
        <v>445</v>
      </c>
      <c r="P245" s="383" t="s">
        <v>970</v>
      </c>
      <c r="Q245" s="383"/>
      <c r="R245" s="431">
        <v>640000</v>
      </c>
      <c r="S245" s="158">
        <v>0</v>
      </c>
      <c r="T245" s="158">
        <v>0</v>
      </c>
      <c r="U245" s="158">
        <v>0</v>
      </c>
      <c r="V245" s="158">
        <v>0</v>
      </c>
      <c r="W245" s="158">
        <v>0</v>
      </c>
      <c r="X245" s="158">
        <v>0</v>
      </c>
      <c r="Y245" s="158">
        <v>0</v>
      </c>
      <c r="Z245" s="158">
        <v>0</v>
      </c>
      <c r="AA245" s="432">
        <v>0</v>
      </c>
      <c r="AB245" s="432">
        <v>0</v>
      </c>
      <c r="AC245" s="432">
        <v>0</v>
      </c>
      <c r="AD245" s="432">
        <v>0</v>
      </c>
      <c r="AE245" s="432">
        <v>0</v>
      </c>
      <c r="AF245" s="432">
        <v>0</v>
      </c>
      <c r="AG245" s="432">
        <v>0</v>
      </c>
      <c r="AH245" s="432">
        <v>0</v>
      </c>
      <c r="AI245" s="158">
        <v>640750</v>
      </c>
      <c r="AJ245" s="158">
        <v>0</v>
      </c>
      <c r="AK245" s="158">
        <v>640750</v>
      </c>
      <c r="AL245" s="158">
        <v>640750</v>
      </c>
      <c r="AM245" s="158">
        <v>1598400</v>
      </c>
      <c r="AN245" s="158">
        <v>640750</v>
      </c>
      <c r="AO245" s="158">
        <v>640750</v>
      </c>
      <c r="AP245" s="158">
        <v>640000</v>
      </c>
      <c r="AQ245" s="432">
        <v>0</v>
      </c>
      <c r="AR245" s="432">
        <v>0</v>
      </c>
      <c r="AS245" s="432">
        <v>0</v>
      </c>
      <c r="AT245" s="432">
        <v>0</v>
      </c>
      <c r="AU245" s="432">
        <v>0</v>
      </c>
      <c r="AV245" s="432">
        <v>0</v>
      </c>
      <c r="AW245" s="432">
        <v>0</v>
      </c>
      <c r="AX245" s="432">
        <v>0</v>
      </c>
      <c r="AY245" s="158">
        <v>0</v>
      </c>
      <c r="AZ245" s="158">
        <v>0</v>
      </c>
      <c r="BA245" s="158">
        <v>0</v>
      </c>
      <c r="BB245" s="158">
        <v>0</v>
      </c>
      <c r="BC245" s="158">
        <v>0</v>
      </c>
      <c r="BD245" s="158">
        <v>0</v>
      </c>
      <c r="BE245" s="158">
        <v>0</v>
      </c>
      <c r="BF245" s="160">
        <v>0</v>
      </c>
      <c r="BG245" s="383">
        <v>2023</v>
      </c>
      <c r="BH245" s="383">
        <v>1</v>
      </c>
      <c r="BI245" s="383">
        <v>19</v>
      </c>
      <c r="BK245" s="147" t="str">
        <f>IF(R245=SUM(Z245,AH245,AP245,AX245,BF245),"○","×")</f>
        <v>○</v>
      </c>
    </row>
    <row r="246" spans="1:63" x14ac:dyDescent="0.2">
      <c r="A246" s="428">
        <v>1437</v>
      </c>
      <c r="B246" s="429"/>
      <c r="C246" s="430"/>
      <c r="D246" s="429"/>
      <c r="E246" s="430"/>
      <c r="F246" s="429"/>
      <c r="G246" s="429"/>
      <c r="H246" s="430"/>
      <c r="I246" s="429"/>
      <c r="J246" s="429"/>
      <c r="K246" s="429"/>
      <c r="L246" s="383"/>
      <c r="M246" s="383" t="s">
        <v>442</v>
      </c>
      <c r="N246" s="383" t="s">
        <v>323</v>
      </c>
      <c r="O246" s="383" t="s">
        <v>443</v>
      </c>
      <c r="P246" s="383" t="s">
        <v>970</v>
      </c>
      <c r="Q246" s="383"/>
      <c r="R246" s="431">
        <v>39000</v>
      </c>
      <c r="S246" s="158">
        <v>0</v>
      </c>
      <c r="T246" s="158">
        <v>0</v>
      </c>
      <c r="U246" s="158">
        <v>0</v>
      </c>
      <c r="V246" s="158">
        <v>0</v>
      </c>
      <c r="W246" s="158">
        <v>0</v>
      </c>
      <c r="X246" s="158">
        <v>0</v>
      </c>
      <c r="Y246" s="158">
        <v>0</v>
      </c>
      <c r="Z246" s="158">
        <v>0</v>
      </c>
      <c r="AA246" s="432">
        <v>0</v>
      </c>
      <c r="AB246" s="432">
        <v>0</v>
      </c>
      <c r="AC246" s="432">
        <v>0</v>
      </c>
      <c r="AD246" s="432">
        <v>0</v>
      </c>
      <c r="AE246" s="432">
        <v>0</v>
      </c>
      <c r="AF246" s="432">
        <v>0</v>
      </c>
      <c r="AG246" s="432">
        <v>0</v>
      </c>
      <c r="AH246" s="432">
        <v>0</v>
      </c>
      <c r="AI246" s="158">
        <v>39540</v>
      </c>
      <c r="AJ246" s="158">
        <v>0</v>
      </c>
      <c r="AK246" s="158">
        <v>39540</v>
      </c>
      <c r="AL246" s="158">
        <v>39540</v>
      </c>
      <c r="AM246" s="158">
        <v>4032000</v>
      </c>
      <c r="AN246" s="158">
        <v>39540</v>
      </c>
      <c r="AO246" s="158">
        <v>39540</v>
      </c>
      <c r="AP246" s="158">
        <v>39000</v>
      </c>
      <c r="AQ246" s="432">
        <v>0</v>
      </c>
      <c r="AR246" s="432">
        <v>0</v>
      </c>
      <c r="AS246" s="432">
        <v>0</v>
      </c>
      <c r="AT246" s="432">
        <v>0</v>
      </c>
      <c r="AU246" s="432">
        <v>0</v>
      </c>
      <c r="AV246" s="432">
        <v>0</v>
      </c>
      <c r="AW246" s="432">
        <v>0</v>
      </c>
      <c r="AX246" s="432">
        <v>0</v>
      </c>
      <c r="AY246" s="158">
        <v>0</v>
      </c>
      <c r="AZ246" s="158">
        <v>0</v>
      </c>
      <c r="BA246" s="158">
        <v>0</v>
      </c>
      <c r="BB246" s="158">
        <v>0</v>
      </c>
      <c r="BC246" s="158">
        <v>0</v>
      </c>
      <c r="BD246" s="158">
        <v>0</v>
      </c>
      <c r="BE246" s="158">
        <v>0</v>
      </c>
      <c r="BF246" s="160">
        <v>0</v>
      </c>
      <c r="BG246" s="383">
        <v>2023</v>
      </c>
      <c r="BH246" s="383">
        <v>1</v>
      </c>
      <c r="BI246" s="383">
        <v>19</v>
      </c>
      <c r="BK246" s="147" t="str">
        <f>IF(R246=SUM(Z246,AH246,AP246,AX246,BF246),"○","×")</f>
        <v>○</v>
      </c>
    </row>
    <row r="247" spans="1:63" x14ac:dyDescent="0.2">
      <c r="A247" s="428">
        <v>1438</v>
      </c>
      <c r="B247" s="429"/>
      <c r="C247" s="430"/>
      <c r="D247" s="429"/>
      <c r="E247" s="430"/>
      <c r="F247" s="429"/>
      <c r="G247" s="429"/>
      <c r="H247" s="430"/>
      <c r="I247" s="429"/>
      <c r="J247" s="429"/>
      <c r="K247" s="429"/>
      <c r="L247" s="383"/>
      <c r="M247" s="383" t="s">
        <v>529</v>
      </c>
      <c r="N247" s="383" t="s">
        <v>329</v>
      </c>
      <c r="O247" s="383" t="s">
        <v>530</v>
      </c>
      <c r="P247" s="383" t="s">
        <v>970</v>
      </c>
      <c r="Q247" s="383"/>
      <c r="R247" s="431">
        <v>317000</v>
      </c>
      <c r="S247" s="158">
        <v>0</v>
      </c>
      <c r="T247" s="158">
        <v>0</v>
      </c>
      <c r="U247" s="158">
        <v>0</v>
      </c>
      <c r="V247" s="158">
        <v>0</v>
      </c>
      <c r="W247" s="158">
        <v>0</v>
      </c>
      <c r="X247" s="158">
        <v>0</v>
      </c>
      <c r="Y247" s="158">
        <v>0</v>
      </c>
      <c r="Z247" s="158">
        <v>0</v>
      </c>
      <c r="AA247" s="432">
        <v>0</v>
      </c>
      <c r="AB247" s="432">
        <v>0</v>
      </c>
      <c r="AC247" s="432">
        <v>0</v>
      </c>
      <c r="AD247" s="432">
        <v>0</v>
      </c>
      <c r="AE247" s="432">
        <v>0</v>
      </c>
      <c r="AF247" s="432">
        <v>0</v>
      </c>
      <c r="AG247" s="432">
        <v>0</v>
      </c>
      <c r="AH247" s="432">
        <v>0</v>
      </c>
      <c r="AI247" s="158">
        <v>317840</v>
      </c>
      <c r="AJ247" s="158">
        <v>0</v>
      </c>
      <c r="AK247" s="158">
        <v>317840</v>
      </c>
      <c r="AL247" s="158">
        <v>317840</v>
      </c>
      <c r="AM247" s="158">
        <v>1296000</v>
      </c>
      <c r="AN247" s="158">
        <v>317840</v>
      </c>
      <c r="AO247" s="158">
        <v>317840</v>
      </c>
      <c r="AP247" s="158">
        <v>317000</v>
      </c>
      <c r="AQ247" s="432">
        <v>0</v>
      </c>
      <c r="AR247" s="432">
        <v>0</v>
      </c>
      <c r="AS247" s="432">
        <v>0</v>
      </c>
      <c r="AT247" s="432">
        <v>0</v>
      </c>
      <c r="AU247" s="432">
        <v>0</v>
      </c>
      <c r="AV247" s="432">
        <v>0</v>
      </c>
      <c r="AW247" s="432">
        <v>0</v>
      </c>
      <c r="AX247" s="432">
        <v>0</v>
      </c>
      <c r="AY247" s="158">
        <v>0</v>
      </c>
      <c r="AZ247" s="158">
        <v>0</v>
      </c>
      <c r="BA247" s="158">
        <v>0</v>
      </c>
      <c r="BB247" s="158">
        <v>0</v>
      </c>
      <c r="BC247" s="158">
        <v>0</v>
      </c>
      <c r="BD247" s="158">
        <v>0</v>
      </c>
      <c r="BE247" s="158">
        <v>0</v>
      </c>
      <c r="BF247" s="160">
        <v>0</v>
      </c>
      <c r="BG247" s="383">
        <v>2023</v>
      </c>
      <c r="BH247" s="383">
        <v>1</v>
      </c>
      <c r="BI247" s="383">
        <v>19</v>
      </c>
      <c r="BK247" s="147" t="str">
        <f>IF(R247=SUM(Z247,AH247,AP247,AX247,BF247),"○","×")</f>
        <v>○</v>
      </c>
    </row>
    <row r="248" spans="1:63" x14ac:dyDescent="0.2">
      <c r="A248" s="428">
        <v>1439</v>
      </c>
      <c r="B248" s="429"/>
      <c r="C248" s="430"/>
      <c r="D248" s="429"/>
      <c r="E248" s="430"/>
      <c r="F248" s="429"/>
      <c r="G248" s="429"/>
      <c r="H248" s="430"/>
      <c r="I248" s="429"/>
      <c r="J248" s="429"/>
      <c r="K248" s="429"/>
      <c r="L248" s="383"/>
      <c r="M248" s="383" t="s">
        <v>681</v>
      </c>
      <c r="N248" s="383" t="s">
        <v>384</v>
      </c>
      <c r="O248" s="383" t="s">
        <v>333</v>
      </c>
      <c r="P248" s="383" t="s">
        <v>970</v>
      </c>
      <c r="Q248" s="383"/>
      <c r="R248" s="431">
        <v>122000</v>
      </c>
      <c r="S248" s="158">
        <v>0</v>
      </c>
      <c r="T248" s="158">
        <v>0</v>
      </c>
      <c r="U248" s="158">
        <v>0</v>
      </c>
      <c r="V248" s="158">
        <v>0</v>
      </c>
      <c r="W248" s="158">
        <v>0</v>
      </c>
      <c r="X248" s="158">
        <v>0</v>
      </c>
      <c r="Y248" s="158">
        <v>0</v>
      </c>
      <c r="Z248" s="158">
        <v>0</v>
      </c>
      <c r="AA248" s="432">
        <v>0</v>
      </c>
      <c r="AB248" s="432">
        <v>0</v>
      </c>
      <c r="AC248" s="432">
        <v>0</v>
      </c>
      <c r="AD248" s="432">
        <v>0</v>
      </c>
      <c r="AE248" s="432">
        <v>0</v>
      </c>
      <c r="AF248" s="432">
        <v>0</v>
      </c>
      <c r="AG248" s="432">
        <v>0</v>
      </c>
      <c r="AH248" s="432">
        <v>0</v>
      </c>
      <c r="AI248" s="158">
        <v>122716</v>
      </c>
      <c r="AJ248" s="158">
        <v>0</v>
      </c>
      <c r="AK248" s="158">
        <v>122716</v>
      </c>
      <c r="AL248" s="158">
        <v>122716</v>
      </c>
      <c r="AM248" s="158">
        <v>6148800</v>
      </c>
      <c r="AN248" s="158">
        <v>122716</v>
      </c>
      <c r="AO248" s="158">
        <v>122716</v>
      </c>
      <c r="AP248" s="158">
        <v>122000</v>
      </c>
      <c r="AQ248" s="432">
        <v>0</v>
      </c>
      <c r="AR248" s="432">
        <v>0</v>
      </c>
      <c r="AS248" s="432">
        <v>0</v>
      </c>
      <c r="AT248" s="432">
        <v>0</v>
      </c>
      <c r="AU248" s="432">
        <v>0</v>
      </c>
      <c r="AV248" s="432">
        <v>0</v>
      </c>
      <c r="AW248" s="432">
        <v>0</v>
      </c>
      <c r="AX248" s="432">
        <v>0</v>
      </c>
      <c r="AY248" s="158">
        <v>0</v>
      </c>
      <c r="AZ248" s="158">
        <v>0</v>
      </c>
      <c r="BA248" s="158">
        <v>0</v>
      </c>
      <c r="BB248" s="158">
        <v>0</v>
      </c>
      <c r="BC248" s="158">
        <v>0</v>
      </c>
      <c r="BD248" s="158">
        <v>0</v>
      </c>
      <c r="BE248" s="158">
        <v>0</v>
      </c>
      <c r="BF248" s="160">
        <v>0</v>
      </c>
      <c r="BG248" s="383">
        <v>2023</v>
      </c>
      <c r="BH248" s="383">
        <v>1</v>
      </c>
      <c r="BI248" s="383">
        <v>19</v>
      </c>
      <c r="BK248" s="147" t="str">
        <f>IF(R248=SUM(Z248,AH248,AP248,AX248,BF248),"○","×")</f>
        <v>○</v>
      </c>
    </row>
    <row r="249" spans="1:63" x14ac:dyDescent="0.2">
      <c r="A249" s="428">
        <v>1440</v>
      </c>
      <c r="B249" s="429"/>
      <c r="C249" s="430"/>
      <c r="D249" s="429"/>
      <c r="E249" s="430"/>
      <c r="F249" s="429"/>
      <c r="G249" s="429"/>
      <c r="H249" s="430"/>
      <c r="I249" s="429"/>
      <c r="J249" s="429"/>
      <c r="K249" s="429"/>
      <c r="L249" s="383"/>
      <c r="M249" s="383" t="s">
        <v>682</v>
      </c>
      <c r="N249" s="383" t="s">
        <v>447</v>
      </c>
      <c r="O249" s="383" t="s">
        <v>418</v>
      </c>
      <c r="P249" s="383" t="s">
        <v>970</v>
      </c>
      <c r="Q249" s="383"/>
      <c r="R249" s="431">
        <v>369000</v>
      </c>
      <c r="S249" s="158">
        <v>0</v>
      </c>
      <c r="T249" s="158">
        <v>0</v>
      </c>
      <c r="U249" s="158">
        <v>0</v>
      </c>
      <c r="V249" s="158">
        <v>0</v>
      </c>
      <c r="W249" s="158">
        <v>0</v>
      </c>
      <c r="X249" s="158">
        <v>0</v>
      </c>
      <c r="Y249" s="158">
        <v>0</v>
      </c>
      <c r="Z249" s="158">
        <v>0</v>
      </c>
      <c r="AA249" s="432">
        <v>0</v>
      </c>
      <c r="AB249" s="432">
        <v>0</v>
      </c>
      <c r="AC249" s="432">
        <v>0</v>
      </c>
      <c r="AD249" s="432">
        <v>0</v>
      </c>
      <c r="AE249" s="432">
        <v>0</v>
      </c>
      <c r="AF249" s="432">
        <v>0</v>
      </c>
      <c r="AG249" s="432">
        <v>0</v>
      </c>
      <c r="AH249" s="432">
        <v>0</v>
      </c>
      <c r="AI249" s="158">
        <v>369660</v>
      </c>
      <c r="AJ249" s="158">
        <v>0</v>
      </c>
      <c r="AK249" s="158">
        <v>369660</v>
      </c>
      <c r="AL249" s="158">
        <v>369660</v>
      </c>
      <c r="AM249" s="158">
        <v>1036800</v>
      </c>
      <c r="AN249" s="158">
        <v>369660</v>
      </c>
      <c r="AO249" s="158">
        <v>369660</v>
      </c>
      <c r="AP249" s="158">
        <v>369000</v>
      </c>
      <c r="AQ249" s="432">
        <v>0</v>
      </c>
      <c r="AR249" s="432">
        <v>0</v>
      </c>
      <c r="AS249" s="432">
        <v>0</v>
      </c>
      <c r="AT249" s="432">
        <v>0</v>
      </c>
      <c r="AU249" s="432">
        <v>0</v>
      </c>
      <c r="AV249" s="432">
        <v>0</v>
      </c>
      <c r="AW249" s="432">
        <v>0</v>
      </c>
      <c r="AX249" s="432">
        <v>0</v>
      </c>
      <c r="AY249" s="158">
        <v>0</v>
      </c>
      <c r="AZ249" s="158">
        <v>0</v>
      </c>
      <c r="BA249" s="158">
        <v>0</v>
      </c>
      <c r="BB249" s="158">
        <v>0</v>
      </c>
      <c r="BC249" s="158">
        <v>0</v>
      </c>
      <c r="BD249" s="158">
        <v>0</v>
      </c>
      <c r="BE249" s="158">
        <v>0</v>
      </c>
      <c r="BF249" s="160">
        <v>0</v>
      </c>
      <c r="BG249" s="383">
        <v>2023</v>
      </c>
      <c r="BH249" s="383">
        <v>1</v>
      </c>
      <c r="BI249" s="383">
        <v>19</v>
      </c>
      <c r="BK249" s="147" t="str">
        <f>IF(R249=SUM(Z249,AH249,AP249,AX249,BF249),"○","×")</f>
        <v>○</v>
      </c>
    </row>
    <row r="250" spans="1:63" x14ac:dyDescent="0.2">
      <c r="A250" s="428">
        <v>1441</v>
      </c>
      <c r="B250" s="429"/>
      <c r="C250" s="430"/>
      <c r="D250" s="429"/>
      <c r="E250" s="430"/>
      <c r="F250" s="429"/>
      <c r="G250" s="429"/>
      <c r="H250" s="430"/>
      <c r="I250" s="429"/>
      <c r="J250" s="429"/>
      <c r="K250" s="429"/>
      <c r="L250" s="383"/>
      <c r="M250" s="383" t="s">
        <v>683</v>
      </c>
      <c r="N250" s="383" t="s">
        <v>586</v>
      </c>
      <c r="O250" s="383" t="s">
        <v>684</v>
      </c>
      <c r="P250" s="383" t="s">
        <v>970</v>
      </c>
      <c r="Q250" s="383"/>
      <c r="R250" s="431">
        <v>244000</v>
      </c>
      <c r="S250" s="158">
        <v>0</v>
      </c>
      <c r="T250" s="158">
        <v>0</v>
      </c>
      <c r="U250" s="158">
        <v>0</v>
      </c>
      <c r="V250" s="158">
        <v>0</v>
      </c>
      <c r="W250" s="158">
        <v>0</v>
      </c>
      <c r="X250" s="158">
        <v>0</v>
      </c>
      <c r="Y250" s="158">
        <v>0</v>
      </c>
      <c r="Z250" s="158">
        <v>0</v>
      </c>
      <c r="AA250" s="432">
        <v>0</v>
      </c>
      <c r="AB250" s="432">
        <v>0</v>
      </c>
      <c r="AC250" s="432">
        <v>0</v>
      </c>
      <c r="AD250" s="432">
        <v>0</v>
      </c>
      <c r="AE250" s="432">
        <v>0</v>
      </c>
      <c r="AF250" s="432">
        <v>0</v>
      </c>
      <c r="AG250" s="432">
        <v>0</v>
      </c>
      <c r="AH250" s="432">
        <v>0</v>
      </c>
      <c r="AI250" s="158">
        <v>244786</v>
      </c>
      <c r="AJ250" s="158">
        <v>0</v>
      </c>
      <c r="AK250" s="158">
        <v>244786</v>
      </c>
      <c r="AL250" s="158">
        <v>244786</v>
      </c>
      <c r="AM250" s="158">
        <v>1188000</v>
      </c>
      <c r="AN250" s="158">
        <v>244786</v>
      </c>
      <c r="AO250" s="158">
        <v>244786</v>
      </c>
      <c r="AP250" s="158">
        <v>244000</v>
      </c>
      <c r="AQ250" s="432">
        <v>0</v>
      </c>
      <c r="AR250" s="432">
        <v>0</v>
      </c>
      <c r="AS250" s="432">
        <v>0</v>
      </c>
      <c r="AT250" s="432">
        <v>0</v>
      </c>
      <c r="AU250" s="432">
        <v>0</v>
      </c>
      <c r="AV250" s="432">
        <v>0</v>
      </c>
      <c r="AW250" s="432">
        <v>0</v>
      </c>
      <c r="AX250" s="432">
        <v>0</v>
      </c>
      <c r="AY250" s="158">
        <v>0</v>
      </c>
      <c r="AZ250" s="158">
        <v>0</v>
      </c>
      <c r="BA250" s="158">
        <v>0</v>
      </c>
      <c r="BB250" s="158">
        <v>0</v>
      </c>
      <c r="BC250" s="158">
        <v>0</v>
      </c>
      <c r="BD250" s="158">
        <v>0</v>
      </c>
      <c r="BE250" s="158">
        <v>0</v>
      </c>
      <c r="BF250" s="160">
        <v>0</v>
      </c>
      <c r="BG250" s="383">
        <v>2023</v>
      </c>
      <c r="BH250" s="383">
        <v>1</v>
      </c>
      <c r="BI250" s="383">
        <v>19</v>
      </c>
      <c r="BK250" s="147" t="str">
        <f>IF(R250=SUM(Z250,AH250,AP250,AX250,BF250),"○","×")</f>
        <v>○</v>
      </c>
    </row>
    <row r="251" spans="1:63" x14ac:dyDescent="0.2">
      <c r="A251" s="428">
        <v>1443</v>
      </c>
      <c r="B251" s="429"/>
      <c r="C251" s="430"/>
      <c r="D251" s="429"/>
      <c r="E251" s="430"/>
      <c r="F251" s="429"/>
      <c r="G251" s="429"/>
      <c r="H251" s="430"/>
      <c r="I251" s="429"/>
      <c r="J251" s="429"/>
      <c r="K251" s="429"/>
      <c r="L251" s="383"/>
      <c r="M251" s="383" t="s">
        <v>392</v>
      </c>
      <c r="N251" s="383" t="s">
        <v>343</v>
      </c>
      <c r="O251" s="383" t="s">
        <v>393</v>
      </c>
      <c r="P251" s="383" t="s">
        <v>970</v>
      </c>
      <c r="Q251" s="383"/>
      <c r="R251" s="431">
        <v>844000</v>
      </c>
      <c r="S251" s="158">
        <v>0</v>
      </c>
      <c r="T251" s="158">
        <v>0</v>
      </c>
      <c r="U251" s="158">
        <v>0</v>
      </c>
      <c r="V251" s="158">
        <v>0</v>
      </c>
      <c r="W251" s="158">
        <v>0</v>
      </c>
      <c r="X251" s="158">
        <v>0</v>
      </c>
      <c r="Y251" s="158">
        <v>0</v>
      </c>
      <c r="Z251" s="158">
        <v>0</v>
      </c>
      <c r="AA251" s="432">
        <v>0</v>
      </c>
      <c r="AB251" s="432">
        <v>0</v>
      </c>
      <c r="AC251" s="432">
        <v>0</v>
      </c>
      <c r="AD251" s="432">
        <v>0</v>
      </c>
      <c r="AE251" s="432">
        <v>0</v>
      </c>
      <c r="AF251" s="432">
        <v>0</v>
      </c>
      <c r="AG251" s="432">
        <v>0</v>
      </c>
      <c r="AH251" s="432">
        <v>0</v>
      </c>
      <c r="AI251" s="158">
        <v>844104</v>
      </c>
      <c r="AJ251" s="158">
        <v>0</v>
      </c>
      <c r="AK251" s="158">
        <v>844104</v>
      </c>
      <c r="AL251" s="158">
        <v>844104</v>
      </c>
      <c r="AM251" s="158">
        <v>4284000</v>
      </c>
      <c r="AN251" s="158">
        <v>844104</v>
      </c>
      <c r="AO251" s="158">
        <v>844104</v>
      </c>
      <c r="AP251" s="158">
        <v>844000</v>
      </c>
      <c r="AQ251" s="432">
        <v>0</v>
      </c>
      <c r="AR251" s="432">
        <v>0</v>
      </c>
      <c r="AS251" s="432">
        <v>0</v>
      </c>
      <c r="AT251" s="432">
        <v>0</v>
      </c>
      <c r="AU251" s="432">
        <v>0</v>
      </c>
      <c r="AV251" s="432">
        <v>0</v>
      </c>
      <c r="AW251" s="432">
        <v>0</v>
      </c>
      <c r="AX251" s="432">
        <v>0</v>
      </c>
      <c r="AY251" s="158">
        <v>0</v>
      </c>
      <c r="AZ251" s="158">
        <v>0</v>
      </c>
      <c r="BA251" s="158">
        <v>0</v>
      </c>
      <c r="BB251" s="158">
        <v>0</v>
      </c>
      <c r="BC251" s="158">
        <v>0</v>
      </c>
      <c r="BD251" s="158">
        <v>0</v>
      </c>
      <c r="BE251" s="158">
        <v>0</v>
      </c>
      <c r="BF251" s="160">
        <v>0</v>
      </c>
      <c r="BG251" s="383">
        <v>2023</v>
      </c>
      <c r="BH251" s="383">
        <v>1</v>
      </c>
      <c r="BI251" s="383">
        <v>19</v>
      </c>
      <c r="BK251" s="147" t="str">
        <f>IF(R251=SUM(Z251,AH251,AP251,AX251,BF251),"○","×")</f>
        <v>○</v>
      </c>
    </row>
    <row r="252" spans="1:63" x14ac:dyDescent="0.2">
      <c r="A252" s="428">
        <v>1444</v>
      </c>
      <c r="B252" s="429"/>
      <c r="C252" s="430"/>
      <c r="D252" s="429"/>
      <c r="E252" s="430"/>
      <c r="F252" s="429"/>
      <c r="G252" s="429"/>
      <c r="H252" s="430"/>
      <c r="I252" s="429"/>
      <c r="J252" s="429"/>
      <c r="K252" s="429"/>
      <c r="L252" s="383"/>
      <c r="M252" s="383" t="s">
        <v>685</v>
      </c>
      <c r="N252" s="383" t="s">
        <v>547</v>
      </c>
      <c r="O252" s="383" t="s">
        <v>686</v>
      </c>
      <c r="P252" s="383" t="s">
        <v>970</v>
      </c>
      <c r="Q252" s="383"/>
      <c r="R252" s="431">
        <v>49000</v>
      </c>
      <c r="S252" s="158">
        <v>0</v>
      </c>
      <c r="T252" s="158">
        <v>0</v>
      </c>
      <c r="U252" s="158">
        <v>0</v>
      </c>
      <c r="V252" s="158">
        <v>0</v>
      </c>
      <c r="W252" s="158">
        <v>0</v>
      </c>
      <c r="X252" s="158">
        <v>0</v>
      </c>
      <c r="Y252" s="158">
        <v>0</v>
      </c>
      <c r="Z252" s="158">
        <v>0</v>
      </c>
      <c r="AA252" s="432">
        <v>0</v>
      </c>
      <c r="AB252" s="432">
        <v>0</v>
      </c>
      <c r="AC252" s="432">
        <v>0</v>
      </c>
      <c r="AD252" s="432">
        <v>0</v>
      </c>
      <c r="AE252" s="432">
        <v>0</v>
      </c>
      <c r="AF252" s="432">
        <v>0</v>
      </c>
      <c r="AG252" s="432">
        <v>0</v>
      </c>
      <c r="AH252" s="432">
        <v>0</v>
      </c>
      <c r="AI252" s="158">
        <v>49500</v>
      </c>
      <c r="AJ252" s="158">
        <v>0</v>
      </c>
      <c r="AK252" s="158">
        <v>49500</v>
      </c>
      <c r="AL252" s="158">
        <v>49500</v>
      </c>
      <c r="AM252" s="158">
        <v>1094400</v>
      </c>
      <c r="AN252" s="158">
        <v>49500</v>
      </c>
      <c r="AO252" s="158">
        <v>49500</v>
      </c>
      <c r="AP252" s="158">
        <v>49000</v>
      </c>
      <c r="AQ252" s="432">
        <v>0</v>
      </c>
      <c r="AR252" s="432">
        <v>0</v>
      </c>
      <c r="AS252" s="432">
        <v>0</v>
      </c>
      <c r="AT252" s="432">
        <v>0</v>
      </c>
      <c r="AU252" s="432">
        <v>0</v>
      </c>
      <c r="AV252" s="432">
        <v>0</v>
      </c>
      <c r="AW252" s="432">
        <v>0</v>
      </c>
      <c r="AX252" s="432">
        <v>0</v>
      </c>
      <c r="AY252" s="158">
        <v>0</v>
      </c>
      <c r="AZ252" s="158">
        <v>0</v>
      </c>
      <c r="BA252" s="158">
        <v>0</v>
      </c>
      <c r="BB252" s="158">
        <v>0</v>
      </c>
      <c r="BC252" s="158">
        <v>0</v>
      </c>
      <c r="BD252" s="158">
        <v>0</v>
      </c>
      <c r="BE252" s="158">
        <v>0</v>
      </c>
      <c r="BF252" s="160">
        <v>0</v>
      </c>
      <c r="BG252" s="383">
        <v>2023</v>
      </c>
      <c r="BH252" s="383">
        <v>1</v>
      </c>
      <c r="BI252" s="383">
        <v>19</v>
      </c>
      <c r="BK252" s="147" t="str">
        <f>IF(R252=SUM(Z252,AH252,AP252,AX252,BF252),"○","×")</f>
        <v>○</v>
      </c>
    </row>
    <row r="253" spans="1:63" x14ac:dyDescent="0.2">
      <c r="A253" s="428">
        <v>1445</v>
      </c>
      <c r="B253" s="429"/>
      <c r="C253" s="430"/>
      <c r="D253" s="429"/>
      <c r="E253" s="430"/>
      <c r="F253" s="429"/>
      <c r="G253" s="429"/>
      <c r="H253" s="430"/>
      <c r="I253" s="429"/>
      <c r="J253" s="429"/>
      <c r="K253" s="429"/>
      <c r="L253" s="383"/>
      <c r="M253" s="383" t="s">
        <v>687</v>
      </c>
      <c r="N253" s="383" t="s">
        <v>353</v>
      </c>
      <c r="O253" s="383" t="s">
        <v>688</v>
      </c>
      <c r="P253" s="383" t="s">
        <v>970</v>
      </c>
      <c r="Q253" s="383"/>
      <c r="R253" s="431">
        <v>34000</v>
      </c>
      <c r="S253" s="158">
        <v>0</v>
      </c>
      <c r="T253" s="158">
        <v>0</v>
      </c>
      <c r="U253" s="158">
        <v>0</v>
      </c>
      <c r="V253" s="158">
        <v>0</v>
      </c>
      <c r="W253" s="158">
        <v>0</v>
      </c>
      <c r="X253" s="158">
        <v>0</v>
      </c>
      <c r="Y253" s="158">
        <v>0</v>
      </c>
      <c r="Z253" s="158">
        <v>0</v>
      </c>
      <c r="AA253" s="432">
        <v>0</v>
      </c>
      <c r="AB253" s="432">
        <v>0</v>
      </c>
      <c r="AC253" s="432">
        <v>0</v>
      </c>
      <c r="AD253" s="432">
        <v>0</v>
      </c>
      <c r="AE253" s="432">
        <v>0</v>
      </c>
      <c r="AF253" s="432">
        <v>0</v>
      </c>
      <c r="AG253" s="432">
        <v>0</v>
      </c>
      <c r="AH253" s="432">
        <v>0</v>
      </c>
      <c r="AI253" s="158">
        <v>34110</v>
      </c>
      <c r="AJ253" s="158">
        <v>0</v>
      </c>
      <c r="AK253" s="158">
        <v>34110</v>
      </c>
      <c r="AL253" s="158">
        <v>34110</v>
      </c>
      <c r="AM253" s="158">
        <v>1166400</v>
      </c>
      <c r="AN253" s="158">
        <v>34110</v>
      </c>
      <c r="AO253" s="158">
        <v>34110</v>
      </c>
      <c r="AP253" s="158">
        <v>34000</v>
      </c>
      <c r="AQ253" s="432">
        <v>0</v>
      </c>
      <c r="AR253" s="432">
        <v>0</v>
      </c>
      <c r="AS253" s="432">
        <v>0</v>
      </c>
      <c r="AT253" s="432">
        <v>0</v>
      </c>
      <c r="AU253" s="432">
        <v>0</v>
      </c>
      <c r="AV253" s="432">
        <v>0</v>
      </c>
      <c r="AW253" s="432">
        <v>0</v>
      </c>
      <c r="AX253" s="432">
        <v>0</v>
      </c>
      <c r="AY253" s="158">
        <v>0</v>
      </c>
      <c r="AZ253" s="158">
        <v>0</v>
      </c>
      <c r="BA253" s="158">
        <v>0</v>
      </c>
      <c r="BB253" s="158">
        <v>0</v>
      </c>
      <c r="BC253" s="158">
        <v>0</v>
      </c>
      <c r="BD253" s="158">
        <v>0</v>
      </c>
      <c r="BE253" s="158">
        <v>0</v>
      </c>
      <c r="BF253" s="160">
        <v>0</v>
      </c>
      <c r="BG253" s="383">
        <v>2023</v>
      </c>
      <c r="BH253" s="383">
        <v>1</v>
      </c>
      <c r="BI253" s="383">
        <v>19</v>
      </c>
      <c r="BK253" s="147" t="str">
        <f>IF(R253=SUM(Z253,AH253,AP253,AX253,BF253),"○","×")</f>
        <v>○</v>
      </c>
    </row>
    <row r="254" spans="1:63" x14ac:dyDescent="0.2">
      <c r="A254" s="428">
        <v>1446</v>
      </c>
      <c r="B254" s="429"/>
      <c r="C254" s="430"/>
      <c r="D254" s="429"/>
      <c r="E254" s="430"/>
      <c r="F254" s="429"/>
      <c r="G254" s="429"/>
      <c r="H254" s="430"/>
      <c r="I254" s="429"/>
      <c r="J254" s="429"/>
      <c r="K254" s="429"/>
      <c r="L254" s="383"/>
      <c r="M254" s="383" t="s">
        <v>689</v>
      </c>
      <c r="N254" s="383" t="s">
        <v>447</v>
      </c>
      <c r="O254" s="383" t="s">
        <v>690</v>
      </c>
      <c r="P254" s="383" t="s">
        <v>970</v>
      </c>
      <c r="Q254" s="383"/>
      <c r="R254" s="431">
        <v>251000</v>
      </c>
      <c r="S254" s="158">
        <v>0</v>
      </c>
      <c r="T254" s="158">
        <v>0</v>
      </c>
      <c r="U254" s="158">
        <v>0</v>
      </c>
      <c r="V254" s="158">
        <v>0</v>
      </c>
      <c r="W254" s="158">
        <v>0</v>
      </c>
      <c r="X254" s="158">
        <v>0</v>
      </c>
      <c r="Y254" s="158">
        <v>0</v>
      </c>
      <c r="Z254" s="158">
        <v>0</v>
      </c>
      <c r="AA254" s="432">
        <v>0</v>
      </c>
      <c r="AB254" s="432">
        <v>0</v>
      </c>
      <c r="AC254" s="432">
        <v>0</v>
      </c>
      <c r="AD254" s="432">
        <v>0</v>
      </c>
      <c r="AE254" s="432">
        <v>0</v>
      </c>
      <c r="AF254" s="432">
        <v>0</v>
      </c>
      <c r="AG254" s="432">
        <v>0</v>
      </c>
      <c r="AH254" s="432">
        <v>0</v>
      </c>
      <c r="AI254" s="158">
        <v>251050</v>
      </c>
      <c r="AJ254" s="158">
        <v>0</v>
      </c>
      <c r="AK254" s="158">
        <v>251050</v>
      </c>
      <c r="AL254" s="158">
        <v>251050</v>
      </c>
      <c r="AM254" s="158">
        <v>5702400</v>
      </c>
      <c r="AN254" s="158">
        <v>251050</v>
      </c>
      <c r="AO254" s="158">
        <v>251050</v>
      </c>
      <c r="AP254" s="158">
        <v>251000</v>
      </c>
      <c r="AQ254" s="432">
        <v>0</v>
      </c>
      <c r="AR254" s="432">
        <v>0</v>
      </c>
      <c r="AS254" s="432">
        <v>0</v>
      </c>
      <c r="AT254" s="432">
        <v>0</v>
      </c>
      <c r="AU254" s="432">
        <v>0</v>
      </c>
      <c r="AV254" s="432">
        <v>0</v>
      </c>
      <c r="AW254" s="432">
        <v>0</v>
      </c>
      <c r="AX254" s="432">
        <v>0</v>
      </c>
      <c r="AY254" s="158">
        <v>0</v>
      </c>
      <c r="AZ254" s="158">
        <v>0</v>
      </c>
      <c r="BA254" s="158">
        <v>0</v>
      </c>
      <c r="BB254" s="158">
        <v>0</v>
      </c>
      <c r="BC254" s="158">
        <v>0</v>
      </c>
      <c r="BD254" s="158">
        <v>0</v>
      </c>
      <c r="BE254" s="158">
        <v>0</v>
      </c>
      <c r="BF254" s="160">
        <v>0</v>
      </c>
      <c r="BG254" s="383">
        <v>2023</v>
      </c>
      <c r="BH254" s="383">
        <v>1</v>
      </c>
      <c r="BI254" s="383">
        <v>19</v>
      </c>
      <c r="BK254" s="147" t="str">
        <f>IF(R254=SUM(Z254,AH254,AP254,AX254,BF254),"○","×")</f>
        <v>○</v>
      </c>
    </row>
    <row r="255" spans="1:63" x14ac:dyDescent="0.2">
      <c r="A255" s="428">
        <v>1447</v>
      </c>
      <c r="B255" s="429"/>
      <c r="C255" s="430"/>
      <c r="D255" s="429"/>
      <c r="E255" s="430"/>
      <c r="F255" s="429"/>
      <c r="G255" s="429"/>
      <c r="H255" s="430"/>
      <c r="I255" s="429"/>
      <c r="J255" s="429"/>
      <c r="K255" s="429"/>
      <c r="L255" s="383"/>
      <c r="M255" s="383" t="s">
        <v>691</v>
      </c>
      <c r="N255" s="383" t="s">
        <v>323</v>
      </c>
      <c r="O255" s="383" t="s">
        <v>692</v>
      </c>
      <c r="P255" s="383" t="s">
        <v>970</v>
      </c>
      <c r="Q255" s="383"/>
      <c r="R255" s="431">
        <v>202000</v>
      </c>
      <c r="S255" s="158">
        <v>0</v>
      </c>
      <c r="T255" s="158">
        <v>0</v>
      </c>
      <c r="U255" s="158">
        <v>0</v>
      </c>
      <c r="V255" s="158">
        <v>0</v>
      </c>
      <c r="W255" s="158">
        <v>0</v>
      </c>
      <c r="X255" s="158">
        <v>0</v>
      </c>
      <c r="Y255" s="158">
        <v>0</v>
      </c>
      <c r="Z255" s="158">
        <v>0</v>
      </c>
      <c r="AA255" s="432">
        <v>0</v>
      </c>
      <c r="AB255" s="432">
        <v>0</v>
      </c>
      <c r="AC255" s="432">
        <v>0</v>
      </c>
      <c r="AD255" s="432">
        <v>0</v>
      </c>
      <c r="AE255" s="432">
        <v>0</v>
      </c>
      <c r="AF255" s="432">
        <v>0</v>
      </c>
      <c r="AG255" s="432">
        <v>0</v>
      </c>
      <c r="AH255" s="432">
        <v>0</v>
      </c>
      <c r="AI255" s="158">
        <v>202120</v>
      </c>
      <c r="AJ255" s="158">
        <v>0</v>
      </c>
      <c r="AK255" s="158">
        <v>202120</v>
      </c>
      <c r="AL255" s="158">
        <v>202120</v>
      </c>
      <c r="AM255" s="158">
        <v>3110400</v>
      </c>
      <c r="AN255" s="158">
        <v>202120</v>
      </c>
      <c r="AO255" s="158">
        <v>202120</v>
      </c>
      <c r="AP255" s="158">
        <v>202000</v>
      </c>
      <c r="AQ255" s="432">
        <v>0</v>
      </c>
      <c r="AR255" s="432">
        <v>0</v>
      </c>
      <c r="AS255" s="432">
        <v>0</v>
      </c>
      <c r="AT255" s="432">
        <v>0</v>
      </c>
      <c r="AU255" s="432">
        <v>0</v>
      </c>
      <c r="AV255" s="432">
        <v>0</v>
      </c>
      <c r="AW255" s="432">
        <v>0</v>
      </c>
      <c r="AX255" s="432">
        <v>0</v>
      </c>
      <c r="AY255" s="158">
        <v>0</v>
      </c>
      <c r="AZ255" s="158">
        <v>0</v>
      </c>
      <c r="BA255" s="158">
        <v>0</v>
      </c>
      <c r="BB255" s="158">
        <v>0</v>
      </c>
      <c r="BC255" s="158">
        <v>0</v>
      </c>
      <c r="BD255" s="158">
        <v>0</v>
      </c>
      <c r="BE255" s="158">
        <v>0</v>
      </c>
      <c r="BF255" s="160">
        <v>0</v>
      </c>
      <c r="BG255" s="383">
        <v>2023</v>
      </c>
      <c r="BH255" s="383">
        <v>1</v>
      </c>
      <c r="BI255" s="383">
        <v>19</v>
      </c>
      <c r="BK255" s="147" t="str">
        <f>IF(R255=SUM(Z255,AH255,AP255,AX255,BF255),"○","×")</f>
        <v>○</v>
      </c>
    </row>
    <row r="256" spans="1:63" s="152" customFormat="1" x14ac:dyDescent="0.2">
      <c r="A256" s="428">
        <v>1448</v>
      </c>
      <c r="B256" s="429"/>
      <c r="C256" s="430"/>
      <c r="D256" s="429"/>
      <c r="E256" s="430"/>
      <c r="F256" s="429"/>
      <c r="G256" s="429"/>
      <c r="H256" s="430"/>
      <c r="I256" s="429"/>
      <c r="J256" s="429"/>
      <c r="K256" s="429"/>
      <c r="L256" s="383"/>
      <c r="M256" s="383" t="s">
        <v>693</v>
      </c>
      <c r="N256" s="383" t="s">
        <v>343</v>
      </c>
      <c r="O256" s="383" t="s">
        <v>462</v>
      </c>
      <c r="P256" s="383" t="s">
        <v>970</v>
      </c>
      <c r="Q256" s="383"/>
      <c r="R256" s="431">
        <v>199000</v>
      </c>
      <c r="S256" s="158">
        <v>0</v>
      </c>
      <c r="T256" s="158">
        <v>0</v>
      </c>
      <c r="U256" s="158">
        <v>0</v>
      </c>
      <c r="V256" s="158">
        <v>0</v>
      </c>
      <c r="W256" s="158">
        <v>0</v>
      </c>
      <c r="X256" s="158">
        <v>0</v>
      </c>
      <c r="Y256" s="158">
        <v>0</v>
      </c>
      <c r="Z256" s="158">
        <v>0</v>
      </c>
      <c r="AA256" s="432">
        <v>0</v>
      </c>
      <c r="AB256" s="432">
        <v>0</v>
      </c>
      <c r="AC256" s="432">
        <v>0</v>
      </c>
      <c r="AD256" s="432">
        <v>0</v>
      </c>
      <c r="AE256" s="432">
        <v>0</v>
      </c>
      <c r="AF256" s="432">
        <v>0</v>
      </c>
      <c r="AG256" s="432">
        <v>0</v>
      </c>
      <c r="AH256" s="432">
        <v>0</v>
      </c>
      <c r="AI256" s="158">
        <v>199320</v>
      </c>
      <c r="AJ256" s="158">
        <v>0</v>
      </c>
      <c r="AK256" s="158">
        <v>199320</v>
      </c>
      <c r="AL256" s="158">
        <v>199320</v>
      </c>
      <c r="AM256" s="158">
        <v>3283200</v>
      </c>
      <c r="AN256" s="158">
        <v>199320</v>
      </c>
      <c r="AO256" s="158">
        <v>199320</v>
      </c>
      <c r="AP256" s="158">
        <v>199000</v>
      </c>
      <c r="AQ256" s="432">
        <v>0</v>
      </c>
      <c r="AR256" s="432">
        <v>0</v>
      </c>
      <c r="AS256" s="432">
        <v>0</v>
      </c>
      <c r="AT256" s="432">
        <v>0</v>
      </c>
      <c r="AU256" s="432">
        <v>0</v>
      </c>
      <c r="AV256" s="432">
        <v>0</v>
      </c>
      <c r="AW256" s="432">
        <v>0</v>
      </c>
      <c r="AX256" s="432">
        <v>0</v>
      </c>
      <c r="AY256" s="158">
        <v>0</v>
      </c>
      <c r="AZ256" s="158">
        <v>0</v>
      </c>
      <c r="BA256" s="158">
        <v>0</v>
      </c>
      <c r="BB256" s="158">
        <v>0</v>
      </c>
      <c r="BC256" s="158">
        <v>0</v>
      </c>
      <c r="BD256" s="158">
        <v>0</v>
      </c>
      <c r="BE256" s="158">
        <v>0</v>
      </c>
      <c r="BF256" s="160">
        <v>0</v>
      </c>
      <c r="BG256" s="383">
        <v>2023</v>
      </c>
      <c r="BH256" s="383">
        <v>1</v>
      </c>
      <c r="BI256" s="383">
        <v>19</v>
      </c>
      <c r="BJ256" s="148"/>
      <c r="BK256" s="147" t="str">
        <f>IF(R256=SUM(Z256,AH256,AP256,AX256,BF256),"○","×")</f>
        <v>○</v>
      </c>
    </row>
    <row r="257" spans="1:63" x14ac:dyDescent="0.2">
      <c r="A257" s="428">
        <v>1449</v>
      </c>
      <c r="B257" s="429"/>
      <c r="C257" s="430"/>
      <c r="D257" s="429"/>
      <c r="E257" s="430"/>
      <c r="F257" s="429"/>
      <c r="G257" s="429"/>
      <c r="H257" s="430"/>
      <c r="I257" s="429"/>
      <c r="J257" s="429"/>
      <c r="K257" s="429"/>
      <c r="L257" s="383"/>
      <c r="M257" s="383" t="s">
        <v>694</v>
      </c>
      <c r="N257" s="383" t="s">
        <v>323</v>
      </c>
      <c r="O257" s="383" t="s">
        <v>695</v>
      </c>
      <c r="P257" s="383" t="s">
        <v>970</v>
      </c>
      <c r="Q257" s="383"/>
      <c r="R257" s="431">
        <v>323000</v>
      </c>
      <c r="S257" s="158">
        <v>0</v>
      </c>
      <c r="T257" s="158">
        <v>0</v>
      </c>
      <c r="U257" s="158">
        <v>0</v>
      </c>
      <c r="V257" s="158">
        <v>0</v>
      </c>
      <c r="W257" s="158">
        <v>0</v>
      </c>
      <c r="X257" s="158">
        <v>0</v>
      </c>
      <c r="Y257" s="158">
        <v>0</v>
      </c>
      <c r="Z257" s="158">
        <v>0</v>
      </c>
      <c r="AA257" s="432">
        <v>0</v>
      </c>
      <c r="AB257" s="432">
        <v>0</v>
      </c>
      <c r="AC257" s="432">
        <v>0</v>
      </c>
      <c r="AD257" s="432">
        <v>0</v>
      </c>
      <c r="AE257" s="432">
        <v>0</v>
      </c>
      <c r="AF257" s="432">
        <v>0</v>
      </c>
      <c r="AG257" s="432">
        <v>0</v>
      </c>
      <c r="AH257" s="432">
        <v>0</v>
      </c>
      <c r="AI257" s="158">
        <v>323002</v>
      </c>
      <c r="AJ257" s="158">
        <v>0</v>
      </c>
      <c r="AK257" s="158">
        <v>323002</v>
      </c>
      <c r="AL257" s="158">
        <v>323002</v>
      </c>
      <c r="AM257" s="158">
        <v>4262400</v>
      </c>
      <c r="AN257" s="158">
        <v>323002</v>
      </c>
      <c r="AO257" s="158">
        <v>323002</v>
      </c>
      <c r="AP257" s="158">
        <v>323000</v>
      </c>
      <c r="AQ257" s="432">
        <v>0</v>
      </c>
      <c r="AR257" s="432">
        <v>0</v>
      </c>
      <c r="AS257" s="432">
        <v>0</v>
      </c>
      <c r="AT257" s="432">
        <v>0</v>
      </c>
      <c r="AU257" s="432">
        <v>0</v>
      </c>
      <c r="AV257" s="432">
        <v>0</v>
      </c>
      <c r="AW257" s="432">
        <v>0</v>
      </c>
      <c r="AX257" s="432">
        <v>0</v>
      </c>
      <c r="AY257" s="158">
        <v>0</v>
      </c>
      <c r="AZ257" s="158">
        <v>0</v>
      </c>
      <c r="BA257" s="158">
        <v>0</v>
      </c>
      <c r="BB257" s="158">
        <v>0</v>
      </c>
      <c r="BC257" s="158">
        <v>0</v>
      </c>
      <c r="BD257" s="158">
        <v>0</v>
      </c>
      <c r="BE257" s="158">
        <v>0</v>
      </c>
      <c r="BF257" s="160">
        <v>0</v>
      </c>
      <c r="BG257" s="383">
        <v>2023</v>
      </c>
      <c r="BH257" s="383">
        <v>1</v>
      </c>
      <c r="BI257" s="383">
        <v>19</v>
      </c>
      <c r="BK257" s="147" t="str">
        <f>IF(R257=SUM(Z257,AH257,AP257,AX257,BF257),"○","×")</f>
        <v>○</v>
      </c>
    </row>
    <row r="258" spans="1:63" s="152" customFormat="1" x14ac:dyDescent="0.2">
      <c r="A258" s="428">
        <v>1450</v>
      </c>
      <c r="B258" s="429"/>
      <c r="C258" s="430"/>
      <c r="D258" s="429"/>
      <c r="E258" s="430"/>
      <c r="F258" s="429"/>
      <c r="G258" s="429"/>
      <c r="H258" s="430"/>
      <c r="I258" s="429"/>
      <c r="J258" s="429"/>
      <c r="K258" s="429"/>
      <c r="L258" s="383"/>
      <c r="M258" s="383" t="s">
        <v>696</v>
      </c>
      <c r="N258" s="383" t="s">
        <v>547</v>
      </c>
      <c r="O258" s="383" t="s">
        <v>697</v>
      </c>
      <c r="P258" s="383" t="s">
        <v>970</v>
      </c>
      <c r="Q258" s="383"/>
      <c r="R258" s="431">
        <v>385000</v>
      </c>
      <c r="S258" s="158">
        <v>0</v>
      </c>
      <c r="T258" s="158">
        <v>0</v>
      </c>
      <c r="U258" s="158">
        <v>0</v>
      </c>
      <c r="V258" s="158">
        <v>0</v>
      </c>
      <c r="W258" s="158">
        <v>0</v>
      </c>
      <c r="X258" s="158">
        <v>0</v>
      </c>
      <c r="Y258" s="158">
        <v>0</v>
      </c>
      <c r="Z258" s="158">
        <v>0</v>
      </c>
      <c r="AA258" s="432">
        <v>0</v>
      </c>
      <c r="AB258" s="432">
        <v>0</v>
      </c>
      <c r="AC258" s="432">
        <v>0</v>
      </c>
      <c r="AD258" s="432">
        <v>0</v>
      </c>
      <c r="AE258" s="432">
        <v>0</v>
      </c>
      <c r="AF258" s="432">
        <v>0</v>
      </c>
      <c r="AG258" s="432">
        <v>0</v>
      </c>
      <c r="AH258" s="432">
        <v>0</v>
      </c>
      <c r="AI258" s="158">
        <v>385385</v>
      </c>
      <c r="AJ258" s="158">
        <v>0</v>
      </c>
      <c r="AK258" s="158">
        <v>385385</v>
      </c>
      <c r="AL258" s="158">
        <v>385385</v>
      </c>
      <c r="AM258" s="158">
        <v>5148000</v>
      </c>
      <c r="AN258" s="158">
        <v>385385</v>
      </c>
      <c r="AO258" s="158">
        <v>385385</v>
      </c>
      <c r="AP258" s="158">
        <v>385000</v>
      </c>
      <c r="AQ258" s="432">
        <v>0</v>
      </c>
      <c r="AR258" s="432">
        <v>0</v>
      </c>
      <c r="AS258" s="432">
        <v>0</v>
      </c>
      <c r="AT258" s="432">
        <v>0</v>
      </c>
      <c r="AU258" s="432">
        <v>0</v>
      </c>
      <c r="AV258" s="432">
        <v>0</v>
      </c>
      <c r="AW258" s="432">
        <v>0</v>
      </c>
      <c r="AX258" s="432">
        <v>0</v>
      </c>
      <c r="AY258" s="158">
        <v>0</v>
      </c>
      <c r="AZ258" s="158">
        <v>0</v>
      </c>
      <c r="BA258" s="158">
        <v>0</v>
      </c>
      <c r="BB258" s="158">
        <v>0</v>
      </c>
      <c r="BC258" s="158">
        <v>0</v>
      </c>
      <c r="BD258" s="158">
        <v>0</v>
      </c>
      <c r="BE258" s="158">
        <v>0</v>
      </c>
      <c r="BF258" s="160">
        <v>0</v>
      </c>
      <c r="BG258" s="383">
        <v>2023</v>
      </c>
      <c r="BH258" s="383">
        <v>1</v>
      </c>
      <c r="BI258" s="383">
        <v>19</v>
      </c>
      <c r="BK258" s="147" t="str">
        <f>IF(R258=SUM(Z258,AH258,AP258,AX258,BF258),"○","×")</f>
        <v>○</v>
      </c>
    </row>
    <row r="259" spans="1:63" x14ac:dyDescent="0.2">
      <c r="A259" s="428">
        <v>1451</v>
      </c>
      <c r="B259" s="429"/>
      <c r="C259" s="430"/>
      <c r="D259" s="429"/>
      <c r="E259" s="430"/>
      <c r="F259" s="429"/>
      <c r="G259" s="429"/>
      <c r="H259" s="430"/>
      <c r="I259" s="429"/>
      <c r="J259" s="429"/>
      <c r="K259" s="429"/>
      <c r="L259" s="383"/>
      <c r="M259" s="383" t="s">
        <v>499</v>
      </c>
      <c r="N259" s="383" t="s">
        <v>323</v>
      </c>
      <c r="O259" s="383" t="s">
        <v>500</v>
      </c>
      <c r="P259" s="383" t="s">
        <v>970</v>
      </c>
      <c r="Q259" s="383"/>
      <c r="R259" s="431">
        <v>131000</v>
      </c>
      <c r="S259" s="158">
        <v>0</v>
      </c>
      <c r="T259" s="158">
        <v>0</v>
      </c>
      <c r="U259" s="158">
        <v>0</v>
      </c>
      <c r="V259" s="158">
        <v>0</v>
      </c>
      <c r="W259" s="158">
        <v>0</v>
      </c>
      <c r="X259" s="158">
        <v>0</v>
      </c>
      <c r="Y259" s="158">
        <v>0</v>
      </c>
      <c r="Z259" s="158">
        <v>0</v>
      </c>
      <c r="AA259" s="432">
        <v>0</v>
      </c>
      <c r="AB259" s="432">
        <v>0</v>
      </c>
      <c r="AC259" s="432">
        <v>0</v>
      </c>
      <c r="AD259" s="432">
        <v>0</v>
      </c>
      <c r="AE259" s="432">
        <v>0</v>
      </c>
      <c r="AF259" s="432">
        <v>0</v>
      </c>
      <c r="AG259" s="432">
        <v>0</v>
      </c>
      <c r="AH259" s="432">
        <v>0</v>
      </c>
      <c r="AI259" s="158">
        <v>131806</v>
      </c>
      <c r="AJ259" s="158">
        <v>0</v>
      </c>
      <c r="AK259" s="158">
        <v>131806</v>
      </c>
      <c r="AL259" s="158">
        <v>131806</v>
      </c>
      <c r="AM259" s="158">
        <v>1566000</v>
      </c>
      <c r="AN259" s="158">
        <v>131806</v>
      </c>
      <c r="AO259" s="158">
        <v>131806</v>
      </c>
      <c r="AP259" s="158">
        <v>131000</v>
      </c>
      <c r="AQ259" s="432">
        <v>0</v>
      </c>
      <c r="AR259" s="432">
        <v>0</v>
      </c>
      <c r="AS259" s="432">
        <v>0</v>
      </c>
      <c r="AT259" s="432">
        <v>0</v>
      </c>
      <c r="AU259" s="432">
        <v>0</v>
      </c>
      <c r="AV259" s="432">
        <v>0</v>
      </c>
      <c r="AW259" s="432">
        <v>0</v>
      </c>
      <c r="AX259" s="432">
        <v>0</v>
      </c>
      <c r="AY259" s="158">
        <v>0</v>
      </c>
      <c r="AZ259" s="158">
        <v>0</v>
      </c>
      <c r="BA259" s="158">
        <v>0</v>
      </c>
      <c r="BB259" s="158">
        <v>0</v>
      </c>
      <c r="BC259" s="158">
        <v>0</v>
      </c>
      <c r="BD259" s="158">
        <v>0</v>
      </c>
      <c r="BE259" s="158">
        <v>0</v>
      </c>
      <c r="BF259" s="160">
        <v>0</v>
      </c>
      <c r="BG259" s="383">
        <v>2023</v>
      </c>
      <c r="BH259" s="383">
        <v>1</v>
      </c>
      <c r="BI259" s="383">
        <v>19</v>
      </c>
      <c r="BK259" s="147" t="str">
        <f>IF(R259=SUM(Z259,AH259,AP259,AX259,BF259),"○","×")</f>
        <v>○</v>
      </c>
    </row>
    <row r="260" spans="1:63" x14ac:dyDescent="0.2">
      <c r="A260" s="428">
        <v>1452</v>
      </c>
      <c r="B260" s="429"/>
      <c r="C260" s="430"/>
      <c r="D260" s="429"/>
      <c r="E260" s="430"/>
      <c r="F260" s="429"/>
      <c r="G260" s="429"/>
      <c r="H260" s="430"/>
      <c r="I260" s="429"/>
      <c r="J260" s="429"/>
      <c r="K260" s="429"/>
      <c r="L260" s="383"/>
      <c r="M260" s="383" t="s">
        <v>698</v>
      </c>
      <c r="N260" s="383" t="s">
        <v>367</v>
      </c>
      <c r="O260" s="383" t="s">
        <v>684</v>
      </c>
      <c r="P260" s="383" t="s">
        <v>970</v>
      </c>
      <c r="Q260" s="383"/>
      <c r="R260" s="431">
        <v>247000</v>
      </c>
      <c r="S260" s="158">
        <v>0</v>
      </c>
      <c r="T260" s="158">
        <v>0</v>
      </c>
      <c r="U260" s="158">
        <v>0</v>
      </c>
      <c r="V260" s="158">
        <v>0</v>
      </c>
      <c r="W260" s="158">
        <v>0</v>
      </c>
      <c r="X260" s="158">
        <v>0</v>
      </c>
      <c r="Y260" s="158">
        <v>0</v>
      </c>
      <c r="Z260" s="158">
        <v>0</v>
      </c>
      <c r="AA260" s="432">
        <v>0</v>
      </c>
      <c r="AB260" s="432">
        <v>0</v>
      </c>
      <c r="AC260" s="432">
        <v>0</v>
      </c>
      <c r="AD260" s="432">
        <v>0</v>
      </c>
      <c r="AE260" s="432">
        <v>0</v>
      </c>
      <c r="AF260" s="432">
        <v>0</v>
      </c>
      <c r="AG260" s="432">
        <v>0</v>
      </c>
      <c r="AH260" s="432">
        <v>0</v>
      </c>
      <c r="AI260" s="158">
        <v>247839</v>
      </c>
      <c r="AJ260" s="158">
        <v>0</v>
      </c>
      <c r="AK260" s="158">
        <v>247839</v>
      </c>
      <c r="AL260" s="158">
        <v>247839</v>
      </c>
      <c r="AM260" s="158">
        <v>1756800</v>
      </c>
      <c r="AN260" s="158">
        <v>247839</v>
      </c>
      <c r="AO260" s="158">
        <v>247839</v>
      </c>
      <c r="AP260" s="158">
        <v>247000</v>
      </c>
      <c r="AQ260" s="432">
        <v>0</v>
      </c>
      <c r="AR260" s="432">
        <v>0</v>
      </c>
      <c r="AS260" s="432">
        <v>0</v>
      </c>
      <c r="AT260" s="432">
        <v>0</v>
      </c>
      <c r="AU260" s="432">
        <v>0</v>
      </c>
      <c r="AV260" s="432">
        <v>0</v>
      </c>
      <c r="AW260" s="432">
        <v>0</v>
      </c>
      <c r="AX260" s="432">
        <v>0</v>
      </c>
      <c r="AY260" s="158">
        <v>0</v>
      </c>
      <c r="AZ260" s="158">
        <v>0</v>
      </c>
      <c r="BA260" s="158">
        <v>0</v>
      </c>
      <c r="BB260" s="158">
        <v>0</v>
      </c>
      <c r="BC260" s="158">
        <v>0</v>
      </c>
      <c r="BD260" s="158">
        <v>0</v>
      </c>
      <c r="BE260" s="158">
        <v>0</v>
      </c>
      <c r="BF260" s="160">
        <v>0</v>
      </c>
      <c r="BG260" s="383">
        <v>2023</v>
      </c>
      <c r="BH260" s="383">
        <v>1</v>
      </c>
      <c r="BI260" s="383">
        <v>19</v>
      </c>
      <c r="BJ260" s="152"/>
      <c r="BK260" s="147" t="str">
        <f>IF(R260=SUM(Z260,AH260,AP260,AX260,BF260),"○","×")</f>
        <v>○</v>
      </c>
    </row>
    <row r="261" spans="1:63" x14ac:dyDescent="0.2">
      <c r="A261" s="428">
        <v>1453</v>
      </c>
      <c r="B261" s="429"/>
      <c r="C261" s="430"/>
      <c r="D261" s="429"/>
      <c r="E261" s="430"/>
      <c r="F261" s="429"/>
      <c r="G261" s="429"/>
      <c r="H261" s="430"/>
      <c r="I261" s="429"/>
      <c r="J261" s="429"/>
      <c r="K261" s="429"/>
      <c r="L261" s="383"/>
      <c r="M261" s="383">
        <v>1552090</v>
      </c>
      <c r="N261" s="383" t="s">
        <v>340</v>
      </c>
      <c r="O261" s="383" t="s">
        <v>699</v>
      </c>
      <c r="P261" s="383" t="s">
        <v>970</v>
      </c>
      <c r="Q261" s="383"/>
      <c r="R261" s="431">
        <v>279000</v>
      </c>
      <c r="S261" s="158">
        <v>0</v>
      </c>
      <c r="T261" s="158">
        <v>0</v>
      </c>
      <c r="U261" s="158">
        <v>0</v>
      </c>
      <c r="V261" s="158">
        <v>0</v>
      </c>
      <c r="W261" s="158">
        <v>0</v>
      </c>
      <c r="X261" s="158">
        <v>0</v>
      </c>
      <c r="Y261" s="158">
        <v>0</v>
      </c>
      <c r="Z261" s="158">
        <v>0</v>
      </c>
      <c r="AA261" s="432">
        <v>0</v>
      </c>
      <c r="AB261" s="432">
        <v>0</v>
      </c>
      <c r="AC261" s="432">
        <v>0</v>
      </c>
      <c r="AD261" s="432">
        <v>0</v>
      </c>
      <c r="AE261" s="432">
        <v>0</v>
      </c>
      <c r="AF261" s="432">
        <v>0</v>
      </c>
      <c r="AG261" s="432">
        <v>0</v>
      </c>
      <c r="AH261" s="432">
        <v>0</v>
      </c>
      <c r="AI261" s="158">
        <v>279880</v>
      </c>
      <c r="AJ261" s="158">
        <v>0</v>
      </c>
      <c r="AK261" s="158">
        <v>279880</v>
      </c>
      <c r="AL261" s="158">
        <v>279880</v>
      </c>
      <c r="AM261" s="158">
        <v>5184000</v>
      </c>
      <c r="AN261" s="158">
        <v>279880</v>
      </c>
      <c r="AO261" s="158">
        <v>279880</v>
      </c>
      <c r="AP261" s="158">
        <v>279000</v>
      </c>
      <c r="AQ261" s="432">
        <v>0</v>
      </c>
      <c r="AR261" s="432">
        <v>0</v>
      </c>
      <c r="AS261" s="432">
        <v>0</v>
      </c>
      <c r="AT261" s="432">
        <v>0</v>
      </c>
      <c r="AU261" s="432">
        <v>0</v>
      </c>
      <c r="AV261" s="432">
        <v>0</v>
      </c>
      <c r="AW261" s="432">
        <v>0</v>
      </c>
      <c r="AX261" s="432">
        <v>0</v>
      </c>
      <c r="AY261" s="158">
        <v>0</v>
      </c>
      <c r="AZ261" s="158">
        <v>0</v>
      </c>
      <c r="BA261" s="158">
        <v>0</v>
      </c>
      <c r="BB261" s="158">
        <v>0</v>
      </c>
      <c r="BC261" s="158">
        <v>0</v>
      </c>
      <c r="BD261" s="158">
        <v>0</v>
      </c>
      <c r="BE261" s="158">
        <v>0</v>
      </c>
      <c r="BF261" s="160">
        <v>0</v>
      </c>
      <c r="BG261" s="383">
        <v>2023</v>
      </c>
      <c r="BH261" s="383">
        <v>1</v>
      </c>
      <c r="BI261" s="383">
        <v>19</v>
      </c>
      <c r="BK261" s="147" t="str">
        <f>IF(R261=SUM(Z261,AH261,AP261,AX261,BF261),"○","×")</f>
        <v>○</v>
      </c>
    </row>
    <row r="262" spans="1:63" x14ac:dyDescent="0.2">
      <c r="A262" s="428">
        <v>1454</v>
      </c>
      <c r="B262" s="429"/>
      <c r="C262" s="430"/>
      <c r="D262" s="429"/>
      <c r="E262" s="430"/>
      <c r="F262" s="429"/>
      <c r="G262" s="429"/>
      <c r="H262" s="430"/>
      <c r="I262" s="429"/>
      <c r="J262" s="429"/>
      <c r="K262" s="429"/>
      <c r="L262" s="383"/>
      <c r="M262" s="383" t="s">
        <v>700</v>
      </c>
      <c r="N262" s="383" t="s">
        <v>356</v>
      </c>
      <c r="O262" s="383" t="s">
        <v>701</v>
      </c>
      <c r="P262" s="383" t="s">
        <v>970</v>
      </c>
      <c r="Q262" s="383"/>
      <c r="R262" s="431">
        <v>167000</v>
      </c>
      <c r="S262" s="158">
        <v>0</v>
      </c>
      <c r="T262" s="158">
        <v>0</v>
      </c>
      <c r="U262" s="158">
        <v>0</v>
      </c>
      <c r="V262" s="158">
        <v>0</v>
      </c>
      <c r="W262" s="158">
        <v>0</v>
      </c>
      <c r="X262" s="158">
        <v>0</v>
      </c>
      <c r="Y262" s="158">
        <v>0</v>
      </c>
      <c r="Z262" s="158">
        <v>0</v>
      </c>
      <c r="AA262" s="432">
        <v>0</v>
      </c>
      <c r="AB262" s="432">
        <v>0</v>
      </c>
      <c r="AC262" s="432">
        <v>0</v>
      </c>
      <c r="AD262" s="432">
        <v>0</v>
      </c>
      <c r="AE262" s="432">
        <v>0</v>
      </c>
      <c r="AF262" s="432">
        <v>0</v>
      </c>
      <c r="AG262" s="432">
        <v>0</v>
      </c>
      <c r="AH262" s="432">
        <v>0</v>
      </c>
      <c r="AI262" s="158">
        <v>167220</v>
      </c>
      <c r="AJ262" s="158">
        <v>0</v>
      </c>
      <c r="AK262" s="158">
        <v>167220</v>
      </c>
      <c r="AL262" s="158">
        <v>167220</v>
      </c>
      <c r="AM262" s="158">
        <v>2030400</v>
      </c>
      <c r="AN262" s="158">
        <v>167220</v>
      </c>
      <c r="AO262" s="158">
        <v>167220</v>
      </c>
      <c r="AP262" s="158">
        <v>167000</v>
      </c>
      <c r="AQ262" s="432">
        <v>0</v>
      </c>
      <c r="AR262" s="432">
        <v>0</v>
      </c>
      <c r="AS262" s="432">
        <v>0</v>
      </c>
      <c r="AT262" s="432">
        <v>0</v>
      </c>
      <c r="AU262" s="432">
        <v>0</v>
      </c>
      <c r="AV262" s="432">
        <v>0</v>
      </c>
      <c r="AW262" s="432">
        <v>0</v>
      </c>
      <c r="AX262" s="432">
        <v>0</v>
      </c>
      <c r="AY262" s="158">
        <v>0</v>
      </c>
      <c r="AZ262" s="158">
        <v>0</v>
      </c>
      <c r="BA262" s="158">
        <v>0</v>
      </c>
      <c r="BB262" s="158">
        <v>0</v>
      </c>
      <c r="BC262" s="158">
        <v>0</v>
      </c>
      <c r="BD262" s="158">
        <v>0</v>
      </c>
      <c r="BE262" s="158">
        <v>0</v>
      </c>
      <c r="BF262" s="160">
        <v>0</v>
      </c>
      <c r="BG262" s="383">
        <v>2023</v>
      </c>
      <c r="BH262" s="383">
        <v>1</v>
      </c>
      <c r="BI262" s="383">
        <v>19</v>
      </c>
      <c r="BK262" s="147" t="str">
        <f>IF(R262=SUM(Z262,AH262,AP262,AX262,BF262),"○","×")</f>
        <v>○</v>
      </c>
    </row>
    <row r="263" spans="1:63" x14ac:dyDescent="0.2">
      <c r="A263" s="428">
        <v>1455</v>
      </c>
      <c r="B263" s="429"/>
      <c r="C263" s="430"/>
      <c r="D263" s="429"/>
      <c r="E263" s="430"/>
      <c r="F263" s="429"/>
      <c r="G263" s="429"/>
      <c r="H263" s="430"/>
      <c r="I263" s="429"/>
      <c r="J263" s="429"/>
      <c r="K263" s="429"/>
      <c r="L263" s="383"/>
      <c r="M263" s="383" t="s">
        <v>702</v>
      </c>
      <c r="N263" s="383" t="s">
        <v>360</v>
      </c>
      <c r="O263" s="383" t="s">
        <v>662</v>
      </c>
      <c r="P263" s="383" t="s">
        <v>970</v>
      </c>
      <c r="Q263" s="383"/>
      <c r="R263" s="431">
        <v>931000</v>
      </c>
      <c r="S263" s="158">
        <v>0</v>
      </c>
      <c r="T263" s="158">
        <v>0</v>
      </c>
      <c r="U263" s="158">
        <v>0</v>
      </c>
      <c r="V263" s="158">
        <v>0</v>
      </c>
      <c r="W263" s="158">
        <v>0</v>
      </c>
      <c r="X263" s="158">
        <v>0</v>
      </c>
      <c r="Y263" s="158">
        <v>0</v>
      </c>
      <c r="Z263" s="158">
        <v>0</v>
      </c>
      <c r="AA263" s="432">
        <v>0</v>
      </c>
      <c r="AB263" s="432">
        <v>0</v>
      </c>
      <c r="AC263" s="432">
        <v>0</v>
      </c>
      <c r="AD263" s="432">
        <v>0</v>
      </c>
      <c r="AE263" s="432">
        <v>0</v>
      </c>
      <c r="AF263" s="432">
        <v>0</v>
      </c>
      <c r="AG263" s="432">
        <v>0</v>
      </c>
      <c r="AH263" s="432">
        <v>0</v>
      </c>
      <c r="AI263" s="158">
        <v>931690</v>
      </c>
      <c r="AJ263" s="158">
        <v>0</v>
      </c>
      <c r="AK263" s="158">
        <v>931690</v>
      </c>
      <c r="AL263" s="158">
        <v>931690</v>
      </c>
      <c r="AM263" s="158">
        <v>1296000</v>
      </c>
      <c r="AN263" s="158">
        <v>931690</v>
      </c>
      <c r="AO263" s="158">
        <v>931690</v>
      </c>
      <c r="AP263" s="158">
        <v>931000</v>
      </c>
      <c r="AQ263" s="432">
        <v>0</v>
      </c>
      <c r="AR263" s="432">
        <v>0</v>
      </c>
      <c r="AS263" s="432">
        <v>0</v>
      </c>
      <c r="AT263" s="432">
        <v>0</v>
      </c>
      <c r="AU263" s="432">
        <v>0</v>
      </c>
      <c r="AV263" s="432">
        <v>0</v>
      </c>
      <c r="AW263" s="432">
        <v>0</v>
      </c>
      <c r="AX263" s="432">
        <v>0</v>
      </c>
      <c r="AY263" s="158">
        <v>0</v>
      </c>
      <c r="AZ263" s="158">
        <v>0</v>
      </c>
      <c r="BA263" s="158">
        <v>0</v>
      </c>
      <c r="BB263" s="158">
        <v>0</v>
      </c>
      <c r="BC263" s="158">
        <v>0</v>
      </c>
      <c r="BD263" s="158">
        <v>0</v>
      </c>
      <c r="BE263" s="158">
        <v>0</v>
      </c>
      <c r="BF263" s="160">
        <v>0</v>
      </c>
      <c r="BG263" s="383">
        <v>2023</v>
      </c>
      <c r="BH263" s="383">
        <v>1</v>
      </c>
      <c r="BI263" s="383">
        <v>19</v>
      </c>
      <c r="BK263" s="147" t="str">
        <f>IF(R263=SUM(Z263,AH263,AP263,AX263,BF263),"○","×")</f>
        <v>○</v>
      </c>
    </row>
    <row r="264" spans="1:63" x14ac:dyDescent="0.2">
      <c r="A264" s="428">
        <v>1456</v>
      </c>
      <c r="B264" s="429"/>
      <c r="C264" s="430"/>
      <c r="D264" s="429"/>
      <c r="E264" s="430"/>
      <c r="F264" s="429"/>
      <c r="G264" s="429"/>
      <c r="H264" s="430"/>
      <c r="I264" s="429"/>
      <c r="J264" s="429"/>
      <c r="K264" s="429"/>
      <c r="L264" s="383"/>
      <c r="M264" s="383" t="s">
        <v>703</v>
      </c>
      <c r="N264" s="383" t="s">
        <v>356</v>
      </c>
      <c r="O264" s="383" t="s">
        <v>704</v>
      </c>
      <c r="P264" s="383" t="s">
        <v>970</v>
      </c>
      <c r="Q264" s="383"/>
      <c r="R264" s="431">
        <v>104000</v>
      </c>
      <c r="S264" s="158">
        <v>0</v>
      </c>
      <c r="T264" s="158">
        <v>0</v>
      </c>
      <c r="U264" s="158">
        <v>0</v>
      </c>
      <c r="V264" s="158">
        <v>0</v>
      </c>
      <c r="W264" s="158">
        <v>0</v>
      </c>
      <c r="X264" s="158">
        <v>0</v>
      </c>
      <c r="Y264" s="158">
        <v>0</v>
      </c>
      <c r="Z264" s="158">
        <v>0</v>
      </c>
      <c r="AA264" s="432">
        <v>0</v>
      </c>
      <c r="AB264" s="432">
        <v>0</v>
      </c>
      <c r="AC264" s="432">
        <v>0</v>
      </c>
      <c r="AD264" s="432">
        <v>0</v>
      </c>
      <c r="AE264" s="432">
        <v>0</v>
      </c>
      <c r="AF264" s="432">
        <v>0</v>
      </c>
      <c r="AG264" s="432">
        <v>0</v>
      </c>
      <c r="AH264" s="432">
        <v>0</v>
      </c>
      <c r="AI264" s="158">
        <v>104340</v>
      </c>
      <c r="AJ264" s="158">
        <v>0</v>
      </c>
      <c r="AK264" s="158">
        <v>104340</v>
      </c>
      <c r="AL264" s="158">
        <v>104340</v>
      </c>
      <c r="AM264" s="158">
        <v>2574000</v>
      </c>
      <c r="AN264" s="158">
        <v>104340</v>
      </c>
      <c r="AO264" s="158">
        <v>104340</v>
      </c>
      <c r="AP264" s="158">
        <v>104000</v>
      </c>
      <c r="AQ264" s="432">
        <v>0</v>
      </c>
      <c r="AR264" s="432">
        <v>0</v>
      </c>
      <c r="AS264" s="432">
        <v>0</v>
      </c>
      <c r="AT264" s="432">
        <v>0</v>
      </c>
      <c r="AU264" s="432">
        <v>0</v>
      </c>
      <c r="AV264" s="432">
        <v>0</v>
      </c>
      <c r="AW264" s="432">
        <v>0</v>
      </c>
      <c r="AX264" s="432">
        <v>0</v>
      </c>
      <c r="AY264" s="158">
        <v>0</v>
      </c>
      <c r="AZ264" s="158">
        <v>0</v>
      </c>
      <c r="BA264" s="158">
        <v>0</v>
      </c>
      <c r="BB264" s="158">
        <v>0</v>
      </c>
      <c r="BC264" s="158">
        <v>0</v>
      </c>
      <c r="BD264" s="158">
        <v>0</v>
      </c>
      <c r="BE264" s="158">
        <v>0</v>
      </c>
      <c r="BF264" s="160">
        <v>0</v>
      </c>
      <c r="BG264" s="383">
        <v>2023</v>
      </c>
      <c r="BH264" s="383">
        <v>1</v>
      </c>
      <c r="BI264" s="383">
        <v>19</v>
      </c>
      <c r="BK264" s="147" t="str">
        <f>IF(R264=SUM(Z264,AH264,AP264,AX264,BF264),"○","×")</f>
        <v>○</v>
      </c>
    </row>
    <row r="265" spans="1:63" s="152" customFormat="1" x14ac:dyDescent="0.2">
      <c r="A265" s="428">
        <v>1457</v>
      </c>
      <c r="B265" s="429"/>
      <c r="C265" s="430"/>
      <c r="D265" s="429"/>
      <c r="E265" s="430"/>
      <c r="F265" s="429"/>
      <c r="G265" s="429"/>
      <c r="H265" s="430"/>
      <c r="I265" s="429"/>
      <c r="J265" s="429"/>
      <c r="K265" s="429"/>
      <c r="L265" s="383"/>
      <c r="M265" s="383" t="s">
        <v>501</v>
      </c>
      <c r="N265" s="383" t="s">
        <v>353</v>
      </c>
      <c r="O265" s="383" t="s">
        <v>502</v>
      </c>
      <c r="P265" s="383" t="s">
        <v>970</v>
      </c>
      <c r="Q265" s="383"/>
      <c r="R265" s="431">
        <v>538000</v>
      </c>
      <c r="S265" s="158">
        <v>0</v>
      </c>
      <c r="T265" s="158">
        <v>0</v>
      </c>
      <c r="U265" s="158">
        <v>0</v>
      </c>
      <c r="V265" s="158">
        <v>0</v>
      </c>
      <c r="W265" s="158">
        <v>0</v>
      </c>
      <c r="X265" s="158">
        <v>0</v>
      </c>
      <c r="Y265" s="158">
        <v>0</v>
      </c>
      <c r="Z265" s="158">
        <v>0</v>
      </c>
      <c r="AA265" s="432">
        <v>0</v>
      </c>
      <c r="AB265" s="432">
        <v>0</v>
      </c>
      <c r="AC265" s="432">
        <v>0</v>
      </c>
      <c r="AD265" s="432">
        <v>0</v>
      </c>
      <c r="AE265" s="432">
        <v>0</v>
      </c>
      <c r="AF265" s="432">
        <v>0</v>
      </c>
      <c r="AG265" s="432">
        <v>0</v>
      </c>
      <c r="AH265" s="432">
        <v>0</v>
      </c>
      <c r="AI265" s="158">
        <v>538021</v>
      </c>
      <c r="AJ265" s="158">
        <v>0</v>
      </c>
      <c r="AK265" s="158">
        <v>538021</v>
      </c>
      <c r="AL265" s="158">
        <v>538021</v>
      </c>
      <c r="AM265" s="158">
        <v>4698000</v>
      </c>
      <c r="AN265" s="158">
        <v>538021</v>
      </c>
      <c r="AO265" s="158">
        <v>538021</v>
      </c>
      <c r="AP265" s="158">
        <v>538000</v>
      </c>
      <c r="AQ265" s="432">
        <v>0</v>
      </c>
      <c r="AR265" s="432">
        <v>0</v>
      </c>
      <c r="AS265" s="432">
        <v>0</v>
      </c>
      <c r="AT265" s="432">
        <v>0</v>
      </c>
      <c r="AU265" s="432">
        <v>0</v>
      </c>
      <c r="AV265" s="432">
        <v>0</v>
      </c>
      <c r="AW265" s="432">
        <v>0</v>
      </c>
      <c r="AX265" s="432">
        <v>0</v>
      </c>
      <c r="AY265" s="158">
        <v>0</v>
      </c>
      <c r="AZ265" s="158">
        <v>0</v>
      </c>
      <c r="BA265" s="158">
        <v>0</v>
      </c>
      <c r="BB265" s="158">
        <v>0</v>
      </c>
      <c r="BC265" s="158">
        <v>0</v>
      </c>
      <c r="BD265" s="158">
        <v>0</v>
      </c>
      <c r="BE265" s="158">
        <v>0</v>
      </c>
      <c r="BF265" s="160">
        <v>0</v>
      </c>
      <c r="BG265" s="383">
        <v>2023</v>
      </c>
      <c r="BH265" s="383">
        <v>1</v>
      </c>
      <c r="BI265" s="383">
        <v>19</v>
      </c>
      <c r="BJ265" s="148"/>
      <c r="BK265" s="147" t="str">
        <f>IF(R265=SUM(Z265,AH265,AP265,AX265,BF265),"○","×")</f>
        <v>○</v>
      </c>
    </row>
    <row r="266" spans="1:63" s="152" customFormat="1" x14ac:dyDescent="0.2">
      <c r="A266" s="428">
        <v>1458</v>
      </c>
      <c r="B266" s="429"/>
      <c r="C266" s="430"/>
      <c r="D266" s="429"/>
      <c r="E266" s="430"/>
      <c r="F266" s="429"/>
      <c r="G266" s="429"/>
      <c r="H266" s="430"/>
      <c r="I266" s="429"/>
      <c r="J266" s="429"/>
      <c r="K266" s="429"/>
      <c r="L266" s="383"/>
      <c r="M266" s="383" t="s">
        <v>705</v>
      </c>
      <c r="N266" s="383" t="s">
        <v>329</v>
      </c>
      <c r="O266" s="383" t="s">
        <v>706</v>
      </c>
      <c r="P266" s="383" t="s">
        <v>970</v>
      </c>
      <c r="Q266" s="383"/>
      <c r="R266" s="431">
        <v>210000</v>
      </c>
      <c r="S266" s="158">
        <v>0</v>
      </c>
      <c r="T266" s="158">
        <v>0</v>
      </c>
      <c r="U266" s="158">
        <v>0</v>
      </c>
      <c r="V266" s="158">
        <v>0</v>
      </c>
      <c r="W266" s="158">
        <v>0</v>
      </c>
      <c r="X266" s="158">
        <v>0</v>
      </c>
      <c r="Y266" s="158">
        <v>0</v>
      </c>
      <c r="Z266" s="158">
        <v>0</v>
      </c>
      <c r="AA266" s="432">
        <v>0</v>
      </c>
      <c r="AB266" s="432">
        <v>0</v>
      </c>
      <c r="AC266" s="432">
        <v>0</v>
      </c>
      <c r="AD266" s="432">
        <v>0</v>
      </c>
      <c r="AE266" s="432">
        <v>0</v>
      </c>
      <c r="AF266" s="432">
        <v>0</v>
      </c>
      <c r="AG266" s="432">
        <v>0</v>
      </c>
      <c r="AH266" s="432">
        <v>0</v>
      </c>
      <c r="AI266" s="158">
        <v>210060</v>
      </c>
      <c r="AJ266" s="158">
        <v>0</v>
      </c>
      <c r="AK266" s="158">
        <v>210060</v>
      </c>
      <c r="AL266" s="158">
        <v>210060</v>
      </c>
      <c r="AM266" s="158">
        <v>1576800</v>
      </c>
      <c r="AN266" s="158">
        <v>210060</v>
      </c>
      <c r="AO266" s="158">
        <v>210060</v>
      </c>
      <c r="AP266" s="158">
        <v>210000</v>
      </c>
      <c r="AQ266" s="432">
        <v>0</v>
      </c>
      <c r="AR266" s="432">
        <v>0</v>
      </c>
      <c r="AS266" s="432">
        <v>0</v>
      </c>
      <c r="AT266" s="432">
        <v>0</v>
      </c>
      <c r="AU266" s="432">
        <v>0</v>
      </c>
      <c r="AV266" s="432">
        <v>0</v>
      </c>
      <c r="AW266" s="432">
        <v>0</v>
      </c>
      <c r="AX266" s="432">
        <v>0</v>
      </c>
      <c r="AY266" s="158">
        <v>0</v>
      </c>
      <c r="AZ266" s="158">
        <v>0</v>
      </c>
      <c r="BA266" s="158">
        <v>0</v>
      </c>
      <c r="BB266" s="158">
        <v>0</v>
      </c>
      <c r="BC266" s="158">
        <v>0</v>
      </c>
      <c r="BD266" s="158">
        <v>0</v>
      </c>
      <c r="BE266" s="158">
        <v>0</v>
      </c>
      <c r="BF266" s="160">
        <v>0</v>
      </c>
      <c r="BG266" s="383">
        <v>2023</v>
      </c>
      <c r="BH266" s="383">
        <v>1</v>
      </c>
      <c r="BI266" s="383">
        <v>19</v>
      </c>
      <c r="BJ266" s="148"/>
      <c r="BK266" s="147" t="str">
        <f>IF(R266=SUM(Z266,AH266,AP266,AX266,BF266),"○","×")</f>
        <v>○</v>
      </c>
    </row>
    <row r="267" spans="1:63" x14ac:dyDescent="0.2">
      <c r="A267" s="428">
        <v>1459</v>
      </c>
      <c r="B267" s="429"/>
      <c r="C267" s="430"/>
      <c r="D267" s="429"/>
      <c r="E267" s="430"/>
      <c r="F267" s="429"/>
      <c r="G267" s="429"/>
      <c r="H267" s="430"/>
      <c r="I267" s="429"/>
      <c r="J267" s="429"/>
      <c r="K267" s="429"/>
      <c r="L267" s="383"/>
      <c r="M267" s="383" t="s">
        <v>707</v>
      </c>
      <c r="N267" s="383" t="s">
        <v>323</v>
      </c>
      <c r="O267" s="383" t="s">
        <v>502</v>
      </c>
      <c r="P267" s="383" t="s">
        <v>970</v>
      </c>
      <c r="Q267" s="383"/>
      <c r="R267" s="431">
        <v>1008000</v>
      </c>
      <c r="S267" s="158">
        <v>0</v>
      </c>
      <c r="T267" s="158">
        <v>0</v>
      </c>
      <c r="U267" s="158">
        <v>0</v>
      </c>
      <c r="V267" s="158">
        <v>0</v>
      </c>
      <c r="W267" s="158">
        <v>0</v>
      </c>
      <c r="X267" s="158">
        <v>0</v>
      </c>
      <c r="Y267" s="158">
        <v>0</v>
      </c>
      <c r="Z267" s="158">
        <v>0</v>
      </c>
      <c r="AA267" s="432">
        <v>0</v>
      </c>
      <c r="AB267" s="432">
        <v>0</v>
      </c>
      <c r="AC267" s="432">
        <v>0</v>
      </c>
      <c r="AD267" s="432">
        <v>0</v>
      </c>
      <c r="AE267" s="432">
        <v>0</v>
      </c>
      <c r="AF267" s="432">
        <v>0</v>
      </c>
      <c r="AG267" s="432">
        <v>0</v>
      </c>
      <c r="AH267" s="432">
        <v>0</v>
      </c>
      <c r="AI267" s="158">
        <v>1008181</v>
      </c>
      <c r="AJ267" s="158">
        <v>0</v>
      </c>
      <c r="AK267" s="158">
        <v>1008181</v>
      </c>
      <c r="AL267" s="158">
        <v>1008181</v>
      </c>
      <c r="AM267" s="158">
        <v>3024000</v>
      </c>
      <c r="AN267" s="158">
        <v>1008181</v>
      </c>
      <c r="AO267" s="158">
        <v>1008181</v>
      </c>
      <c r="AP267" s="158">
        <v>1008000</v>
      </c>
      <c r="AQ267" s="432">
        <v>0</v>
      </c>
      <c r="AR267" s="432">
        <v>0</v>
      </c>
      <c r="AS267" s="432">
        <v>0</v>
      </c>
      <c r="AT267" s="432">
        <v>0</v>
      </c>
      <c r="AU267" s="432">
        <v>0</v>
      </c>
      <c r="AV267" s="432">
        <v>0</v>
      </c>
      <c r="AW267" s="432">
        <v>0</v>
      </c>
      <c r="AX267" s="432">
        <v>0</v>
      </c>
      <c r="AY267" s="158">
        <v>0</v>
      </c>
      <c r="AZ267" s="158">
        <v>0</v>
      </c>
      <c r="BA267" s="158">
        <v>0</v>
      </c>
      <c r="BB267" s="158">
        <v>0</v>
      </c>
      <c r="BC267" s="158">
        <v>0</v>
      </c>
      <c r="BD267" s="158">
        <v>0</v>
      </c>
      <c r="BE267" s="158">
        <v>0</v>
      </c>
      <c r="BF267" s="160">
        <v>0</v>
      </c>
      <c r="BG267" s="383">
        <v>2023</v>
      </c>
      <c r="BH267" s="383">
        <v>1</v>
      </c>
      <c r="BI267" s="383">
        <v>19</v>
      </c>
      <c r="BJ267" s="152"/>
      <c r="BK267" s="147" t="str">
        <f>IF(R267=SUM(Z267,AH267,AP267,AX267,BF267),"○","×")</f>
        <v>○</v>
      </c>
    </row>
    <row r="268" spans="1:63" x14ac:dyDescent="0.2">
      <c r="A268" s="428">
        <v>1460</v>
      </c>
      <c r="B268" s="429"/>
      <c r="C268" s="430"/>
      <c r="D268" s="429"/>
      <c r="E268" s="430"/>
      <c r="F268" s="429"/>
      <c r="G268" s="429"/>
      <c r="H268" s="430"/>
      <c r="I268" s="429"/>
      <c r="J268" s="429"/>
      <c r="K268" s="429"/>
      <c r="L268" s="383"/>
      <c r="M268" s="383" t="s">
        <v>446</v>
      </c>
      <c r="N268" s="383" t="s">
        <v>447</v>
      </c>
      <c r="O268" s="383" t="s">
        <v>448</v>
      </c>
      <c r="P268" s="383" t="s">
        <v>970</v>
      </c>
      <c r="Q268" s="383"/>
      <c r="R268" s="431">
        <v>962000</v>
      </c>
      <c r="S268" s="158">
        <v>0</v>
      </c>
      <c r="T268" s="158">
        <v>0</v>
      </c>
      <c r="U268" s="158">
        <v>0</v>
      </c>
      <c r="V268" s="158">
        <v>0</v>
      </c>
      <c r="W268" s="158">
        <v>0</v>
      </c>
      <c r="X268" s="158">
        <v>0</v>
      </c>
      <c r="Y268" s="158">
        <v>0</v>
      </c>
      <c r="Z268" s="158">
        <v>0</v>
      </c>
      <c r="AA268" s="432">
        <v>0</v>
      </c>
      <c r="AB268" s="432">
        <v>0</v>
      </c>
      <c r="AC268" s="432">
        <v>0</v>
      </c>
      <c r="AD268" s="432">
        <v>0</v>
      </c>
      <c r="AE268" s="432">
        <v>0</v>
      </c>
      <c r="AF268" s="432">
        <v>0</v>
      </c>
      <c r="AG268" s="432">
        <v>0</v>
      </c>
      <c r="AH268" s="432">
        <v>0</v>
      </c>
      <c r="AI268" s="158">
        <v>962940</v>
      </c>
      <c r="AJ268" s="158">
        <v>0</v>
      </c>
      <c r="AK268" s="158">
        <v>962940</v>
      </c>
      <c r="AL268" s="158">
        <v>962940</v>
      </c>
      <c r="AM268" s="158">
        <v>6177600</v>
      </c>
      <c r="AN268" s="158">
        <v>962940</v>
      </c>
      <c r="AO268" s="158">
        <v>962940</v>
      </c>
      <c r="AP268" s="158">
        <v>962000</v>
      </c>
      <c r="AQ268" s="432">
        <v>0</v>
      </c>
      <c r="AR268" s="432">
        <v>0</v>
      </c>
      <c r="AS268" s="432">
        <v>0</v>
      </c>
      <c r="AT268" s="432">
        <v>0</v>
      </c>
      <c r="AU268" s="432">
        <v>0</v>
      </c>
      <c r="AV268" s="432">
        <v>0</v>
      </c>
      <c r="AW268" s="432">
        <v>0</v>
      </c>
      <c r="AX268" s="432">
        <v>0</v>
      </c>
      <c r="AY268" s="158">
        <v>0</v>
      </c>
      <c r="AZ268" s="158">
        <v>0</v>
      </c>
      <c r="BA268" s="158">
        <v>0</v>
      </c>
      <c r="BB268" s="158">
        <v>0</v>
      </c>
      <c r="BC268" s="158">
        <v>0</v>
      </c>
      <c r="BD268" s="158">
        <v>0</v>
      </c>
      <c r="BE268" s="158">
        <v>0</v>
      </c>
      <c r="BF268" s="160">
        <v>0</v>
      </c>
      <c r="BG268" s="383">
        <v>2023</v>
      </c>
      <c r="BH268" s="383">
        <v>1</v>
      </c>
      <c r="BI268" s="383">
        <v>19</v>
      </c>
      <c r="BJ268" s="152"/>
      <c r="BK268" s="147" t="str">
        <f>IF(R268=SUM(Z268,AH268,AP268,AX268,BF268),"○","×")</f>
        <v>○</v>
      </c>
    </row>
    <row r="269" spans="1:63" x14ac:dyDescent="0.2">
      <c r="A269" s="428">
        <v>1461</v>
      </c>
      <c r="B269" s="429"/>
      <c r="C269" s="430"/>
      <c r="D269" s="429"/>
      <c r="E269" s="430"/>
      <c r="F269" s="429"/>
      <c r="G269" s="429"/>
      <c r="H269" s="430"/>
      <c r="I269" s="429"/>
      <c r="J269" s="429"/>
      <c r="K269" s="429"/>
      <c r="L269" s="383"/>
      <c r="M269" s="383" t="s">
        <v>664</v>
      </c>
      <c r="N269" s="383" t="s">
        <v>323</v>
      </c>
      <c r="O269" s="383" t="s">
        <v>530</v>
      </c>
      <c r="P269" s="383" t="s">
        <v>970</v>
      </c>
      <c r="Q269" s="146"/>
      <c r="R269" s="431">
        <v>494000</v>
      </c>
      <c r="S269" s="158">
        <v>0</v>
      </c>
      <c r="T269" s="158">
        <v>0</v>
      </c>
      <c r="U269" s="158">
        <v>0</v>
      </c>
      <c r="V269" s="158">
        <v>0</v>
      </c>
      <c r="W269" s="158">
        <v>0</v>
      </c>
      <c r="X269" s="158">
        <v>0</v>
      </c>
      <c r="Y269" s="158">
        <v>0</v>
      </c>
      <c r="Z269" s="158">
        <v>0</v>
      </c>
      <c r="AA269" s="432">
        <v>0</v>
      </c>
      <c r="AB269" s="432">
        <v>0</v>
      </c>
      <c r="AC269" s="432">
        <v>0</v>
      </c>
      <c r="AD269" s="432">
        <v>0</v>
      </c>
      <c r="AE269" s="432">
        <v>0</v>
      </c>
      <c r="AF269" s="432">
        <v>0</v>
      </c>
      <c r="AG269" s="432">
        <v>0</v>
      </c>
      <c r="AH269" s="432">
        <v>0</v>
      </c>
      <c r="AI269" s="158">
        <v>494880</v>
      </c>
      <c r="AJ269" s="158">
        <v>0</v>
      </c>
      <c r="AK269" s="158">
        <v>494880</v>
      </c>
      <c r="AL269" s="158">
        <v>494880</v>
      </c>
      <c r="AM269" s="158">
        <v>2592000</v>
      </c>
      <c r="AN269" s="158">
        <v>494880</v>
      </c>
      <c r="AO269" s="158">
        <v>494880</v>
      </c>
      <c r="AP269" s="158">
        <v>494000</v>
      </c>
      <c r="AQ269" s="432">
        <v>0</v>
      </c>
      <c r="AR269" s="432">
        <v>0</v>
      </c>
      <c r="AS269" s="432">
        <v>0</v>
      </c>
      <c r="AT269" s="432">
        <v>0</v>
      </c>
      <c r="AU269" s="432">
        <v>0</v>
      </c>
      <c r="AV269" s="432">
        <v>0</v>
      </c>
      <c r="AW269" s="432">
        <v>0</v>
      </c>
      <c r="AX269" s="432">
        <v>0</v>
      </c>
      <c r="AY269" s="158">
        <v>0</v>
      </c>
      <c r="AZ269" s="158">
        <v>0</v>
      </c>
      <c r="BA269" s="158">
        <v>0</v>
      </c>
      <c r="BB269" s="158">
        <v>0</v>
      </c>
      <c r="BC269" s="158">
        <v>0</v>
      </c>
      <c r="BD269" s="158">
        <v>0</v>
      </c>
      <c r="BE269" s="158">
        <v>0</v>
      </c>
      <c r="BF269" s="160">
        <v>0</v>
      </c>
      <c r="BG269" s="383">
        <v>2023</v>
      </c>
      <c r="BH269" s="383">
        <v>1</v>
      </c>
      <c r="BI269" s="383">
        <v>19</v>
      </c>
      <c r="BK269" s="147" t="str">
        <f>IF(R269=SUM(Z269,AH269,AP269,AX269,BF269),"○","×")</f>
        <v>○</v>
      </c>
    </row>
    <row r="270" spans="1:63" x14ac:dyDescent="0.2">
      <c r="A270" s="428">
        <v>1462</v>
      </c>
      <c r="B270" s="429"/>
      <c r="C270" s="430"/>
      <c r="D270" s="429"/>
      <c r="E270" s="430"/>
      <c r="F270" s="429"/>
      <c r="G270" s="429"/>
      <c r="H270" s="430"/>
      <c r="I270" s="429"/>
      <c r="J270" s="429"/>
      <c r="K270" s="429"/>
      <c r="L270" s="383"/>
      <c r="M270" s="383" t="s">
        <v>708</v>
      </c>
      <c r="N270" s="383" t="s">
        <v>326</v>
      </c>
      <c r="O270" s="383" t="s">
        <v>709</v>
      </c>
      <c r="P270" s="383" t="s">
        <v>970</v>
      </c>
      <c r="Q270" s="383"/>
      <c r="R270" s="431">
        <v>1853000</v>
      </c>
      <c r="S270" s="158">
        <v>0</v>
      </c>
      <c r="T270" s="158">
        <v>0</v>
      </c>
      <c r="U270" s="158">
        <v>0</v>
      </c>
      <c r="V270" s="158">
        <v>0</v>
      </c>
      <c r="W270" s="158">
        <v>0</v>
      </c>
      <c r="X270" s="158">
        <v>0</v>
      </c>
      <c r="Y270" s="158">
        <v>0</v>
      </c>
      <c r="Z270" s="158">
        <v>0</v>
      </c>
      <c r="AA270" s="432">
        <v>0</v>
      </c>
      <c r="AB270" s="432">
        <v>0</v>
      </c>
      <c r="AC270" s="432">
        <v>0</v>
      </c>
      <c r="AD270" s="432">
        <v>0</v>
      </c>
      <c r="AE270" s="432">
        <v>0</v>
      </c>
      <c r="AF270" s="432">
        <v>0</v>
      </c>
      <c r="AG270" s="432">
        <v>0</v>
      </c>
      <c r="AH270" s="432">
        <v>0</v>
      </c>
      <c r="AI270" s="158">
        <v>1853454</v>
      </c>
      <c r="AJ270" s="158">
        <v>0</v>
      </c>
      <c r="AK270" s="158">
        <v>1853454</v>
      </c>
      <c r="AL270" s="158">
        <v>1853454</v>
      </c>
      <c r="AM270" s="158">
        <v>3124800</v>
      </c>
      <c r="AN270" s="158">
        <v>1853454</v>
      </c>
      <c r="AO270" s="158">
        <v>1853454</v>
      </c>
      <c r="AP270" s="158">
        <v>1853000</v>
      </c>
      <c r="AQ270" s="432">
        <v>0</v>
      </c>
      <c r="AR270" s="432">
        <v>0</v>
      </c>
      <c r="AS270" s="432">
        <v>0</v>
      </c>
      <c r="AT270" s="432">
        <v>0</v>
      </c>
      <c r="AU270" s="432">
        <v>0</v>
      </c>
      <c r="AV270" s="432">
        <v>0</v>
      </c>
      <c r="AW270" s="432">
        <v>0</v>
      </c>
      <c r="AX270" s="432">
        <v>0</v>
      </c>
      <c r="AY270" s="158">
        <v>0</v>
      </c>
      <c r="AZ270" s="158">
        <v>0</v>
      </c>
      <c r="BA270" s="158">
        <v>0</v>
      </c>
      <c r="BB270" s="158">
        <v>0</v>
      </c>
      <c r="BC270" s="158">
        <v>0</v>
      </c>
      <c r="BD270" s="158">
        <v>0</v>
      </c>
      <c r="BE270" s="158">
        <v>0</v>
      </c>
      <c r="BF270" s="160">
        <v>0</v>
      </c>
      <c r="BG270" s="383">
        <v>2023</v>
      </c>
      <c r="BH270" s="383">
        <v>1</v>
      </c>
      <c r="BI270" s="383">
        <v>19</v>
      </c>
      <c r="BK270" s="147" t="str">
        <f>IF(R270=SUM(Z270,AH270,AP270,AX270,BF270),"○","×")</f>
        <v>○</v>
      </c>
    </row>
    <row r="271" spans="1:63" x14ac:dyDescent="0.2">
      <c r="A271" s="428">
        <v>1463</v>
      </c>
      <c r="B271" s="429"/>
      <c r="C271" s="430"/>
      <c r="D271" s="429"/>
      <c r="E271" s="430"/>
      <c r="F271" s="429"/>
      <c r="G271" s="429"/>
      <c r="H271" s="430"/>
      <c r="I271" s="429"/>
      <c r="J271" s="429"/>
      <c r="K271" s="429"/>
      <c r="L271" s="383"/>
      <c r="M271" s="383" t="s">
        <v>710</v>
      </c>
      <c r="N271" s="383" t="s">
        <v>326</v>
      </c>
      <c r="O271" s="383" t="s">
        <v>711</v>
      </c>
      <c r="P271" s="383" t="s">
        <v>970</v>
      </c>
      <c r="Q271" s="383"/>
      <c r="R271" s="431">
        <v>2521000</v>
      </c>
      <c r="S271" s="158">
        <v>0</v>
      </c>
      <c r="T271" s="158">
        <v>0</v>
      </c>
      <c r="U271" s="158">
        <v>0</v>
      </c>
      <c r="V271" s="158">
        <v>0</v>
      </c>
      <c r="W271" s="158">
        <v>0</v>
      </c>
      <c r="X271" s="158">
        <v>0</v>
      </c>
      <c r="Y271" s="158">
        <v>0</v>
      </c>
      <c r="Z271" s="158">
        <v>0</v>
      </c>
      <c r="AA271" s="432">
        <v>0</v>
      </c>
      <c r="AB271" s="432">
        <v>0</v>
      </c>
      <c r="AC271" s="432">
        <v>0</v>
      </c>
      <c r="AD271" s="432">
        <v>0</v>
      </c>
      <c r="AE271" s="432">
        <v>0</v>
      </c>
      <c r="AF271" s="432">
        <v>0</v>
      </c>
      <c r="AG271" s="432">
        <v>0</v>
      </c>
      <c r="AH271" s="432">
        <v>0</v>
      </c>
      <c r="AI271" s="158">
        <v>2521914</v>
      </c>
      <c r="AJ271" s="158">
        <v>0</v>
      </c>
      <c r="AK271" s="158">
        <v>2521914</v>
      </c>
      <c r="AL271" s="158">
        <v>2521914</v>
      </c>
      <c r="AM271" s="158">
        <v>3402000</v>
      </c>
      <c r="AN271" s="158">
        <v>2521914</v>
      </c>
      <c r="AO271" s="158">
        <v>2521914</v>
      </c>
      <c r="AP271" s="158">
        <v>2521000</v>
      </c>
      <c r="AQ271" s="432">
        <v>0</v>
      </c>
      <c r="AR271" s="432">
        <v>0</v>
      </c>
      <c r="AS271" s="432">
        <v>0</v>
      </c>
      <c r="AT271" s="432">
        <v>0</v>
      </c>
      <c r="AU271" s="432">
        <v>0</v>
      </c>
      <c r="AV271" s="432">
        <v>0</v>
      </c>
      <c r="AW271" s="432">
        <v>0</v>
      </c>
      <c r="AX271" s="432">
        <v>0</v>
      </c>
      <c r="AY271" s="158">
        <v>0</v>
      </c>
      <c r="AZ271" s="158">
        <v>0</v>
      </c>
      <c r="BA271" s="158">
        <v>0</v>
      </c>
      <c r="BB271" s="158">
        <v>0</v>
      </c>
      <c r="BC271" s="158">
        <v>0</v>
      </c>
      <c r="BD271" s="158">
        <v>0</v>
      </c>
      <c r="BE271" s="158">
        <v>0</v>
      </c>
      <c r="BF271" s="160">
        <v>0</v>
      </c>
      <c r="BG271" s="383">
        <v>2023</v>
      </c>
      <c r="BH271" s="383">
        <v>1</v>
      </c>
      <c r="BI271" s="383">
        <v>19</v>
      </c>
      <c r="BK271" s="147" t="str">
        <f>IF(R271=SUM(Z271,AH271,AP271,AX271,BF271),"○","×")</f>
        <v>○</v>
      </c>
    </row>
    <row r="272" spans="1:63" x14ac:dyDescent="0.2">
      <c r="A272" s="428">
        <v>1464</v>
      </c>
      <c r="B272" s="429"/>
      <c r="C272" s="430"/>
      <c r="D272" s="429"/>
      <c r="E272" s="430"/>
      <c r="F272" s="429"/>
      <c r="G272" s="429"/>
      <c r="H272" s="430"/>
      <c r="I272" s="429"/>
      <c r="J272" s="429"/>
      <c r="K272" s="429"/>
      <c r="L272" s="383"/>
      <c r="M272" s="383" t="s">
        <v>712</v>
      </c>
      <c r="N272" s="383" t="s">
        <v>360</v>
      </c>
      <c r="O272" s="383" t="s">
        <v>619</v>
      </c>
      <c r="P272" s="383" t="s">
        <v>970</v>
      </c>
      <c r="Q272" s="383"/>
      <c r="R272" s="431">
        <v>217000</v>
      </c>
      <c r="S272" s="158">
        <v>0</v>
      </c>
      <c r="T272" s="158">
        <v>0</v>
      </c>
      <c r="U272" s="158">
        <v>0</v>
      </c>
      <c r="V272" s="158">
        <v>0</v>
      </c>
      <c r="W272" s="158">
        <v>0</v>
      </c>
      <c r="X272" s="158">
        <v>0</v>
      </c>
      <c r="Y272" s="158">
        <v>0</v>
      </c>
      <c r="Z272" s="158">
        <v>0</v>
      </c>
      <c r="AA272" s="432">
        <v>0</v>
      </c>
      <c r="AB272" s="432">
        <v>0</v>
      </c>
      <c r="AC272" s="432">
        <v>0</v>
      </c>
      <c r="AD272" s="432">
        <v>0</v>
      </c>
      <c r="AE272" s="432">
        <v>0</v>
      </c>
      <c r="AF272" s="432">
        <v>0</v>
      </c>
      <c r="AG272" s="432">
        <v>0</v>
      </c>
      <c r="AH272" s="432">
        <v>0</v>
      </c>
      <c r="AI272" s="158">
        <v>217274</v>
      </c>
      <c r="AJ272" s="158">
        <v>0</v>
      </c>
      <c r="AK272" s="158">
        <v>217274</v>
      </c>
      <c r="AL272" s="158">
        <v>217274</v>
      </c>
      <c r="AM272" s="158">
        <v>5140800</v>
      </c>
      <c r="AN272" s="158">
        <v>217274</v>
      </c>
      <c r="AO272" s="158">
        <v>217274</v>
      </c>
      <c r="AP272" s="158">
        <v>217000</v>
      </c>
      <c r="AQ272" s="432">
        <v>0</v>
      </c>
      <c r="AR272" s="432">
        <v>0</v>
      </c>
      <c r="AS272" s="432">
        <v>0</v>
      </c>
      <c r="AT272" s="432">
        <v>0</v>
      </c>
      <c r="AU272" s="432">
        <v>0</v>
      </c>
      <c r="AV272" s="432">
        <v>0</v>
      </c>
      <c r="AW272" s="432">
        <v>0</v>
      </c>
      <c r="AX272" s="432">
        <v>0</v>
      </c>
      <c r="AY272" s="158">
        <v>0</v>
      </c>
      <c r="AZ272" s="158">
        <v>0</v>
      </c>
      <c r="BA272" s="158">
        <v>0</v>
      </c>
      <c r="BB272" s="158">
        <v>0</v>
      </c>
      <c r="BC272" s="158">
        <v>0</v>
      </c>
      <c r="BD272" s="158">
        <v>0</v>
      </c>
      <c r="BE272" s="158">
        <v>0</v>
      </c>
      <c r="BF272" s="160">
        <v>0</v>
      </c>
      <c r="BG272" s="383">
        <v>2023</v>
      </c>
      <c r="BH272" s="383">
        <v>1</v>
      </c>
      <c r="BI272" s="383">
        <v>19</v>
      </c>
      <c r="BK272" s="147" t="str">
        <f>IF(R272=SUM(Z272,AH272,AP272,AX272,BF272),"○","×")</f>
        <v>○</v>
      </c>
    </row>
    <row r="273" spans="1:63" x14ac:dyDescent="0.2">
      <c r="A273" s="428">
        <v>1465</v>
      </c>
      <c r="B273" s="429"/>
      <c r="C273" s="430"/>
      <c r="D273" s="429"/>
      <c r="E273" s="430"/>
      <c r="F273" s="429"/>
      <c r="G273" s="429"/>
      <c r="H273" s="430"/>
      <c r="I273" s="429"/>
      <c r="J273" s="429"/>
      <c r="K273" s="429"/>
      <c r="L273" s="383"/>
      <c r="M273" s="383" t="s">
        <v>394</v>
      </c>
      <c r="N273" s="383" t="s">
        <v>367</v>
      </c>
      <c r="O273" s="383" t="s">
        <v>395</v>
      </c>
      <c r="P273" s="383" t="s">
        <v>970</v>
      </c>
      <c r="Q273" s="383"/>
      <c r="R273" s="431">
        <v>591000</v>
      </c>
      <c r="S273" s="158">
        <v>0</v>
      </c>
      <c r="T273" s="158">
        <v>0</v>
      </c>
      <c r="U273" s="158">
        <v>0</v>
      </c>
      <c r="V273" s="158">
        <v>0</v>
      </c>
      <c r="W273" s="158">
        <v>0</v>
      </c>
      <c r="X273" s="158">
        <v>0</v>
      </c>
      <c r="Y273" s="158">
        <v>0</v>
      </c>
      <c r="Z273" s="158">
        <v>0</v>
      </c>
      <c r="AA273" s="432">
        <v>0</v>
      </c>
      <c r="AB273" s="432">
        <v>0</v>
      </c>
      <c r="AC273" s="432">
        <v>0</v>
      </c>
      <c r="AD273" s="432">
        <v>0</v>
      </c>
      <c r="AE273" s="432">
        <v>0</v>
      </c>
      <c r="AF273" s="432">
        <v>0</v>
      </c>
      <c r="AG273" s="432">
        <v>0</v>
      </c>
      <c r="AH273" s="432">
        <v>0</v>
      </c>
      <c r="AI273" s="158">
        <v>591250</v>
      </c>
      <c r="AJ273" s="158">
        <v>0</v>
      </c>
      <c r="AK273" s="158">
        <v>591250</v>
      </c>
      <c r="AL273" s="158">
        <v>591250</v>
      </c>
      <c r="AM273" s="158">
        <v>8856000</v>
      </c>
      <c r="AN273" s="158">
        <v>591250</v>
      </c>
      <c r="AO273" s="158">
        <v>591250</v>
      </c>
      <c r="AP273" s="158">
        <v>591000</v>
      </c>
      <c r="AQ273" s="432">
        <v>0</v>
      </c>
      <c r="AR273" s="432">
        <v>0</v>
      </c>
      <c r="AS273" s="432">
        <v>0</v>
      </c>
      <c r="AT273" s="432">
        <v>0</v>
      </c>
      <c r="AU273" s="432">
        <v>0</v>
      </c>
      <c r="AV273" s="432">
        <v>0</v>
      </c>
      <c r="AW273" s="432">
        <v>0</v>
      </c>
      <c r="AX273" s="432">
        <v>0</v>
      </c>
      <c r="AY273" s="158">
        <v>0</v>
      </c>
      <c r="AZ273" s="158">
        <v>0</v>
      </c>
      <c r="BA273" s="158">
        <v>0</v>
      </c>
      <c r="BB273" s="158">
        <v>0</v>
      </c>
      <c r="BC273" s="158">
        <v>0</v>
      </c>
      <c r="BD273" s="158">
        <v>0</v>
      </c>
      <c r="BE273" s="158">
        <v>0</v>
      </c>
      <c r="BF273" s="160">
        <v>0</v>
      </c>
      <c r="BG273" s="383">
        <v>2023</v>
      </c>
      <c r="BH273" s="383">
        <v>1</v>
      </c>
      <c r="BI273" s="383">
        <v>19</v>
      </c>
      <c r="BK273" s="147" t="str">
        <f>IF(R273=SUM(Z273,AH273,AP273,AX273,BF273),"○","×")</f>
        <v>○</v>
      </c>
    </row>
    <row r="274" spans="1:63" s="152" customFormat="1" x14ac:dyDescent="0.2">
      <c r="A274" s="428">
        <v>1466</v>
      </c>
      <c r="B274" s="429"/>
      <c r="C274" s="430"/>
      <c r="D274" s="429"/>
      <c r="E274" s="430"/>
      <c r="F274" s="429"/>
      <c r="G274" s="429"/>
      <c r="H274" s="430"/>
      <c r="I274" s="429"/>
      <c r="J274" s="429"/>
      <c r="K274" s="429"/>
      <c r="L274" s="383"/>
      <c r="M274" s="383" t="s">
        <v>713</v>
      </c>
      <c r="N274" s="383" t="s">
        <v>335</v>
      </c>
      <c r="O274" s="383" t="s">
        <v>714</v>
      </c>
      <c r="P274" s="383" t="s">
        <v>970</v>
      </c>
      <c r="Q274" s="383"/>
      <c r="R274" s="431">
        <v>487000</v>
      </c>
      <c r="S274" s="158">
        <v>0</v>
      </c>
      <c r="T274" s="158">
        <v>0</v>
      </c>
      <c r="U274" s="158">
        <v>0</v>
      </c>
      <c r="V274" s="158">
        <v>0</v>
      </c>
      <c r="W274" s="158">
        <v>0</v>
      </c>
      <c r="X274" s="158">
        <v>0</v>
      </c>
      <c r="Y274" s="158">
        <v>0</v>
      </c>
      <c r="Z274" s="158">
        <v>0</v>
      </c>
      <c r="AA274" s="432">
        <v>0</v>
      </c>
      <c r="AB274" s="432">
        <v>0</v>
      </c>
      <c r="AC274" s="432">
        <v>0</v>
      </c>
      <c r="AD274" s="432">
        <v>0</v>
      </c>
      <c r="AE274" s="432">
        <v>0</v>
      </c>
      <c r="AF274" s="432">
        <v>0</v>
      </c>
      <c r="AG274" s="432">
        <v>0</v>
      </c>
      <c r="AH274" s="432">
        <v>0</v>
      </c>
      <c r="AI274" s="158">
        <v>487554</v>
      </c>
      <c r="AJ274" s="158">
        <v>0</v>
      </c>
      <c r="AK274" s="158">
        <v>487554</v>
      </c>
      <c r="AL274" s="158">
        <v>487554</v>
      </c>
      <c r="AM274" s="158">
        <v>3528000</v>
      </c>
      <c r="AN274" s="158">
        <v>487554</v>
      </c>
      <c r="AO274" s="158">
        <v>487554</v>
      </c>
      <c r="AP274" s="158">
        <v>487000</v>
      </c>
      <c r="AQ274" s="432">
        <v>0</v>
      </c>
      <c r="AR274" s="432">
        <v>0</v>
      </c>
      <c r="AS274" s="432">
        <v>0</v>
      </c>
      <c r="AT274" s="432">
        <v>0</v>
      </c>
      <c r="AU274" s="432">
        <v>0</v>
      </c>
      <c r="AV274" s="432">
        <v>0</v>
      </c>
      <c r="AW274" s="432">
        <v>0</v>
      </c>
      <c r="AX274" s="432">
        <v>0</v>
      </c>
      <c r="AY274" s="158">
        <v>0</v>
      </c>
      <c r="AZ274" s="158">
        <v>0</v>
      </c>
      <c r="BA274" s="158">
        <v>0</v>
      </c>
      <c r="BB274" s="158">
        <v>0</v>
      </c>
      <c r="BC274" s="158">
        <v>0</v>
      </c>
      <c r="BD274" s="158">
        <v>0</v>
      </c>
      <c r="BE274" s="158">
        <v>0</v>
      </c>
      <c r="BF274" s="160">
        <v>0</v>
      </c>
      <c r="BG274" s="383">
        <v>2023</v>
      </c>
      <c r="BH274" s="383">
        <v>1</v>
      </c>
      <c r="BI274" s="383">
        <v>19</v>
      </c>
      <c r="BJ274" s="148"/>
      <c r="BK274" s="147" t="str">
        <f>IF(R274=SUM(Z274,AH274,AP274,AX274,BF274),"○","×")</f>
        <v>○</v>
      </c>
    </row>
    <row r="275" spans="1:63" x14ac:dyDescent="0.2">
      <c r="A275" s="428">
        <v>1467</v>
      </c>
      <c r="B275" s="429"/>
      <c r="C275" s="430"/>
      <c r="D275" s="429"/>
      <c r="E275" s="430"/>
      <c r="F275" s="429"/>
      <c r="G275" s="429"/>
      <c r="H275" s="430"/>
      <c r="I275" s="429"/>
      <c r="J275" s="429"/>
      <c r="K275" s="429"/>
      <c r="L275" s="383"/>
      <c r="M275" s="383" t="s">
        <v>715</v>
      </c>
      <c r="N275" s="383" t="s">
        <v>427</v>
      </c>
      <c r="O275" s="383" t="s">
        <v>716</v>
      </c>
      <c r="P275" s="383" t="s">
        <v>970</v>
      </c>
      <c r="Q275" s="383"/>
      <c r="R275" s="431">
        <v>42000</v>
      </c>
      <c r="S275" s="158">
        <v>0</v>
      </c>
      <c r="T275" s="158">
        <v>0</v>
      </c>
      <c r="U275" s="158">
        <v>0</v>
      </c>
      <c r="V275" s="158">
        <v>0</v>
      </c>
      <c r="W275" s="158">
        <v>0</v>
      </c>
      <c r="X275" s="158">
        <v>0</v>
      </c>
      <c r="Y275" s="158">
        <v>0</v>
      </c>
      <c r="Z275" s="158">
        <v>0</v>
      </c>
      <c r="AA275" s="432">
        <v>0</v>
      </c>
      <c r="AB275" s="432">
        <v>0</v>
      </c>
      <c r="AC275" s="432">
        <v>0</v>
      </c>
      <c r="AD275" s="432">
        <v>0</v>
      </c>
      <c r="AE275" s="432">
        <v>0</v>
      </c>
      <c r="AF275" s="432">
        <v>0</v>
      </c>
      <c r="AG275" s="432">
        <v>0</v>
      </c>
      <c r="AH275" s="432">
        <v>0</v>
      </c>
      <c r="AI275" s="158">
        <v>42522</v>
      </c>
      <c r="AJ275" s="158">
        <v>0</v>
      </c>
      <c r="AK275" s="158">
        <v>42522</v>
      </c>
      <c r="AL275" s="158">
        <v>42522</v>
      </c>
      <c r="AM275" s="158">
        <v>864000</v>
      </c>
      <c r="AN275" s="158">
        <v>42522</v>
      </c>
      <c r="AO275" s="158">
        <v>42522</v>
      </c>
      <c r="AP275" s="158">
        <v>42000</v>
      </c>
      <c r="AQ275" s="432">
        <v>0</v>
      </c>
      <c r="AR275" s="432">
        <v>0</v>
      </c>
      <c r="AS275" s="432">
        <v>0</v>
      </c>
      <c r="AT275" s="432">
        <v>0</v>
      </c>
      <c r="AU275" s="432">
        <v>0</v>
      </c>
      <c r="AV275" s="432">
        <v>0</v>
      </c>
      <c r="AW275" s="432">
        <v>0</v>
      </c>
      <c r="AX275" s="432">
        <v>0</v>
      </c>
      <c r="AY275" s="158">
        <v>0</v>
      </c>
      <c r="AZ275" s="158">
        <v>0</v>
      </c>
      <c r="BA275" s="158">
        <v>0</v>
      </c>
      <c r="BB275" s="158">
        <v>0</v>
      </c>
      <c r="BC275" s="158">
        <v>0</v>
      </c>
      <c r="BD275" s="158">
        <v>0</v>
      </c>
      <c r="BE275" s="158">
        <v>0</v>
      </c>
      <c r="BF275" s="160">
        <v>0</v>
      </c>
      <c r="BG275" s="383">
        <v>2023</v>
      </c>
      <c r="BH275" s="383">
        <v>1</v>
      </c>
      <c r="BI275" s="383">
        <v>19</v>
      </c>
      <c r="BK275" s="147" t="str">
        <f>IF(R275=SUM(Z275,AH275,AP275,AX275,BF275),"○","×")</f>
        <v>○</v>
      </c>
    </row>
    <row r="276" spans="1:63" x14ac:dyDescent="0.2">
      <c r="A276" s="428">
        <v>1468</v>
      </c>
      <c r="B276" s="429"/>
      <c r="C276" s="430"/>
      <c r="D276" s="429"/>
      <c r="E276" s="430"/>
      <c r="F276" s="429"/>
      <c r="G276" s="429"/>
      <c r="H276" s="430"/>
      <c r="I276" s="429"/>
      <c r="J276" s="429"/>
      <c r="K276" s="429"/>
      <c r="L276" s="383"/>
      <c r="M276" s="383" t="s">
        <v>717</v>
      </c>
      <c r="N276" s="383" t="s">
        <v>323</v>
      </c>
      <c r="O276" s="383" t="s">
        <v>718</v>
      </c>
      <c r="P276" s="383" t="s">
        <v>970</v>
      </c>
      <c r="Q276" s="383"/>
      <c r="R276" s="431">
        <v>97000</v>
      </c>
      <c r="S276" s="158">
        <v>0</v>
      </c>
      <c r="T276" s="158">
        <v>0</v>
      </c>
      <c r="U276" s="158">
        <v>0</v>
      </c>
      <c r="V276" s="158">
        <v>0</v>
      </c>
      <c r="W276" s="158">
        <v>0</v>
      </c>
      <c r="X276" s="158">
        <v>0</v>
      </c>
      <c r="Y276" s="158">
        <v>0</v>
      </c>
      <c r="Z276" s="158">
        <v>0</v>
      </c>
      <c r="AA276" s="432">
        <v>0</v>
      </c>
      <c r="AB276" s="432">
        <v>0</v>
      </c>
      <c r="AC276" s="432">
        <v>0</v>
      </c>
      <c r="AD276" s="432">
        <v>0</v>
      </c>
      <c r="AE276" s="432">
        <v>0</v>
      </c>
      <c r="AF276" s="432">
        <v>0</v>
      </c>
      <c r="AG276" s="432">
        <v>0</v>
      </c>
      <c r="AH276" s="432">
        <v>0</v>
      </c>
      <c r="AI276" s="158">
        <v>97680</v>
      </c>
      <c r="AJ276" s="158">
        <v>0</v>
      </c>
      <c r="AK276" s="158">
        <v>97680</v>
      </c>
      <c r="AL276" s="158">
        <v>97680</v>
      </c>
      <c r="AM276" s="158">
        <v>2592000</v>
      </c>
      <c r="AN276" s="158">
        <v>97680</v>
      </c>
      <c r="AO276" s="158">
        <v>97680</v>
      </c>
      <c r="AP276" s="158">
        <v>97000</v>
      </c>
      <c r="AQ276" s="432">
        <v>0</v>
      </c>
      <c r="AR276" s="432">
        <v>0</v>
      </c>
      <c r="AS276" s="432">
        <v>0</v>
      </c>
      <c r="AT276" s="432">
        <v>0</v>
      </c>
      <c r="AU276" s="432">
        <v>0</v>
      </c>
      <c r="AV276" s="432">
        <v>0</v>
      </c>
      <c r="AW276" s="432">
        <v>0</v>
      </c>
      <c r="AX276" s="432">
        <v>0</v>
      </c>
      <c r="AY276" s="158">
        <v>0</v>
      </c>
      <c r="AZ276" s="158">
        <v>0</v>
      </c>
      <c r="BA276" s="158">
        <v>0</v>
      </c>
      <c r="BB276" s="158">
        <v>0</v>
      </c>
      <c r="BC276" s="158">
        <v>0</v>
      </c>
      <c r="BD276" s="158">
        <v>0</v>
      </c>
      <c r="BE276" s="158">
        <v>0</v>
      </c>
      <c r="BF276" s="160">
        <v>0</v>
      </c>
      <c r="BG276" s="383">
        <v>2023</v>
      </c>
      <c r="BH276" s="383">
        <v>1</v>
      </c>
      <c r="BI276" s="383">
        <v>19</v>
      </c>
      <c r="BJ276" s="152"/>
      <c r="BK276" s="147" t="str">
        <f>IF(R276=SUM(Z276,AH276,AP276,AX276,BF276),"○","×")</f>
        <v>○</v>
      </c>
    </row>
    <row r="277" spans="1:63" x14ac:dyDescent="0.2">
      <c r="A277" s="428">
        <v>1469</v>
      </c>
      <c r="B277" s="429"/>
      <c r="C277" s="430"/>
      <c r="D277" s="429"/>
      <c r="E277" s="430"/>
      <c r="F277" s="429"/>
      <c r="G277" s="429"/>
      <c r="H277" s="430"/>
      <c r="I277" s="429"/>
      <c r="J277" s="429"/>
      <c r="K277" s="429"/>
      <c r="L277" s="383"/>
      <c r="M277" s="383" t="s">
        <v>719</v>
      </c>
      <c r="N277" s="383" t="s">
        <v>323</v>
      </c>
      <c r="O277" s="383" t="s">
        <v>720</v>
      </c>
      <c r="P277" s="383" t="s">
        <v>970</v>
      </c>
      <c r="Q277" s="383"/>
      <c r="R277" s="431">
        <v>1627000</v>
      </c>
      <c r="S277" s="158">
        <v>0</v>
      </c>
      <c r="T277" s="158">
        <v>0</v>
      </c>
      <c r="U277" s="158">
        <v>0</v>
      </c>
      <c r="V277" s="158">
        <v>0</v>
      </c>
      <c r="W277" s="158">
        <v>0</v>
      </c>
      <c r="X277" s="158">
        <v>0</v>
      </c>
      <c r="Y277" s="158">
        <v>0</v>
      </c>
      <c r="Z277" s="158">
        <v>0</v>
      </c>
      <c r="AA277" s="432">
        <v>0</v>
      </c>
      <c r="AB277" s="432">
        <v>0</v>
      </c>
      <c r="AC277" s="432">
        <v>0</v>
      </c>
      <c r="AD277" s="432">
        <v>0</v>
      </c>
      <c r="AE277" s="432">
        <v>0</v>
      </c>
      <c r="AF277" s="432">
        <v>0</v>
      </c>
      <c r="AG277" s="432">
        <v>0</v>
      </c>
      <c r="AH277" s="432">
        <v>0</v>
      </c>
      <c r="AI277" s="158">
        <v>1627750</v>
      </c>
      <c r="AJ277" s="158">
        <v>0</v>
      </c>
      <c r="AK277" s="158">
        <v>1627750</v>
      </c>
      <c r="AL277" s="158">
        <v>1627750</v>
      </c>
      <c r="AM277" s="158">
        <v>3132000</v>
      </c>
      <c r="AN277" s="158">
        <v>1627750</v>
      </c>
      <c r="AO277" s="158">
        <v>1627750</v>
      </c>
      <c r="AP277" s="158">
        <v>1627000</v>
      </c>
      <c r="AQ277" s="432">
        <v>0</v>
      </c>
      <c r="AR277" s="432">
        <v>0</v>
      </c>
      <c r="AS277" s="432">
        <v>0</v>
      </c>
      <c r="AT277" s="432">
        <v>0</v>
      </c>
      <c r="AU277" s="432">
        <v>0</v>
      </c>
      <c r="AV277" s="432">
        <v>0</v>
      </c>
      <c r="AW277" s="432">
        <v>0</v>
      </c>
      <c r="AX277" s="432">
        <v>0</v>
      </c>
      <c r="AY277" s="158">
        <v>0</v>
      </c>
      <c r="AZ277" s="158">
        <v>0</v>
      </c>
      <c r="BA277" s="158">
        <v>0</v>
      </c>
      <c r="BB277" s="158">
        <v>0</v>
      </c>
      <c r="BC277" s="158">
        <v>0</v>
      </c>
      <c r="BD277" s="158">
        <v>0</v>
      </c>
      <c r="BE277" s="158">
        <v>0</v>
      </c>
      <c r="BF277" s="160">
        <v>0</v>
      </c>
      <c r="BG277" s="383">
        <v>2023</v>
      </c>
      <c r="BH277" s="383">
        <v>1</v>
      </c>
      <c r="BI277" s="383">
        <v>19</v>
      </c>
      <c r="BK277" s="147" t="str">
        <f>IF(R277=SUM(Z277,AH277,AP277,AX277,BF277),"○","×")</f>
        <v>○</v>
      </c>
    </row>
    <row r="278" spans="1:63" x14ac:dyDescent="0.2">
      <c r="A278" s="428">
        <v>1471</v>
      </c>
      <c r="B278" s="429"/>
      <c r="C278" s="430"/>
      <c r="D278" s="429"/>
      <c r="E278" s="430"/>
      <c r="F278" s="429"/>
      <c r="G278" s="429"/>
      <c r="H278" s="430"/>
      <c r="I278" s="429"/>
      <c r="J278" s="429"/>
      <c r="K278" s="429"/>
      <c r="L278" s="383"/>
      <c r="M278" s="383" t="s">
        <v>721</v>
      </c>
      <c r="N278" s="383" t="s">
        <v>356</v>
      </c>
      <c r="O278" s="383" t="s">
        <v>722</v>
      </c>
      <c r="P278" s="383" t="s">
        <v>970</v>
      </c>
      <c r="Q278" s="383"/>
      <c r="R278" s="431">
        <v>156000</v>
      </c>
      <c r="S278" s="158">
        <v>0</v>
      </c>
      <c r="T278" s="158">
        <v>0</v>
      </c>
      <c r="U278" s="158">
        <v>0</v>
      </c>
      <c r="V278" s="158">
        <v>0</v>
      </c>
      <c r="W278" s="158">
        <v>0</v>
      </c>
      <c r="X278" s="158">
        <v>0</v>
      </c>
      <c r="Y278" s="158">
        <v>0</v>
      </c>
      <c r="Z278" s="158">
        <v>0</v>
      </c>
      <c r="AA278" s="432">
        <v>0</v>
      </c>
      <c r="AB278" s="432">
        <v>0</v>
      </c>
      <c r="AC278" s="432">
        <v>0</v>
      </c>
      <c r="AD278" s="432">
        <v>0</v>
      </c>
      <c r="AE278" s="432">
        <v>0</v>
      </c>
      <c r="AF278" s="432">
        <v>0</v>
      </c>
      <c r="AG278" s="432">
        <v>0</v>
      </c>
      <c r="AH278" s="432">
        <v>0</v>
      </c>
      <c r="AI278" s="158">
        <v>156354</v>
      </c>
      <c r="AJ278" s="158">
        <v>0</v>
      </c>
      <c r="AK278" s="158">
        <v>156354</v>
      </c>
      <c r="AL278" s="158">
        <v>156354</v>
      </c>
      <c r="AM278" s="158">
        <v>3074400</v>
      </c>
      <c r="AN278" s="158">
        <v>156354</v>
      </c>
      <c r="AO278" s="158">
        <v>156354</v>
      </c>
      <c r="AP278" s="158">
        <v>156000</v>
      </c>
      <c r="AQ278" s="432">
        <v>0</v>
      </c>
      <c r="AR278" s="432">
        <v>0</v>
      </c>
      <c r="AS278" s="432">
        <v>0</v>
      </c>
      <c r="AT278" s="432">
        <v>0</v>
      </c>
      <c r="AU278" s="432">
        <v>0</v>
      </c>
      <c r="AV278" s="432">
        <v>0</v>
      </c>
      <c r="AW278" s="432">
        <v>0</v>
      </c>
      <c r="AX278" s="432">
        <v>0</v>
      </c>
      <c r="AY278" s="158">
        <v>0</v>
      </c>
      <c r="AZ278" s="158">
        <v>0</v>
      </c>
      <c r="BA278" s="158">
        <v>0</v>
      </c>
      <c r="BB278" s="158">
        <v>0</v>
      </c>
      <c r="BC278" s="158">
        <v>0</v>
      </c>
      <c r="BD278" s="158">
        <v>0</v>
      </c>
      <c r="BE278" s="158">
        <v>0</v>
      </c>
      <c r="BF278" s="160">
        <v>0</v>
      </c>
      <c r="BG278" s="383">
        <v>2023</v>
      </c>
      <c r="BH278" s="383">
        <v>1</v>
      </c>
      <c r="BI278" s="383">
        <v>19</v>
      </c>
      <c r="BK278" s="147" t="str">
        <f>IF(R278=SUM(Z278,AH278,AP278,AX278,BF278),"○","×")</f>
        <v>○</v>
      </c>
    </row>
    <row r="279" spans="1:63" x14ac:dyDescent="0.2">
      <c r="A279" s="428">
        <v>1472</v>
      </c>
      <c r="B279" s="429"/>
      <c r="C279" s="430"/>
      <c r="D279" s="429"/>
      <c r="E279" s="430"/>
      <c r="F279" s="429"/>
      <c r="G279" s="429"/>
      <c r="H279" s="430"/>
      <c r="I279" s="429"/>
      <c r="J279" s="429"/>
      <c r="K279" s="429"/>
      <c r="L279" s="383"/>
      <c r="M279" s="383" t="s">
        <v>723</v>
      </c>
      <c r="N279" s="383" t="s">
        <v>323</v>
      </c>
      <c r="O279" s="383" t="s">
        <v>563</v>
      </c>
      <c r="P279" s="383" t="s">
        <v>970</v>
      </c>
      <c r="Q279" s="383"/>
      <c r="R279" s="431">
        <v>1204000</v>
      </c>
      <c r="S279" s="158">
        <v>0</v>
      </c>
      <c r="T279" s="158">
        <v>0</v>
      </c>
      <c r="U279" s="158">
        <v>0</v>
      </c>
      <c r="V279" s="158">
        <v>0</v>
      </c>
      <c r="W279" s="158">
        <v>0</v>
      </c>
      <c r="X279" s="158">
        <v>0</v>
      </c>
      <c r="Y279" s="158">
        <v>0</v>
      </c>
      <c r="Z279" s="158">
        <v>0</v>
      </c>
      <c r="AA279" s="432">
        <v>0</v>
      </c>
      <c r="AB279" s="432">
        <v>0</v>
      </c>
      <c r="AC279" s="432">
        <v>0</v>
      </c>
      <c r="AD279" s="432">
        <v>0</v>
      </c>
      <c r="AE279" s="432">
        <v>0</v>
      </c>
      <c r="AF279" s="432">
        <v>0</v>
      </c>
      <c r="AG279" s="432">
        <v>0</v>
      </c>
      <c r="AH279" s="432">
        <v>0</v>
      </c>
      <c r="AI279" s="158">
        <v>1204170</v>
      </c>
      <c r="AJ279" s="158">
        <v>0</v>
      </c>
      <c r="AK279" s="158">
        <v>1204170</v>
      </c>
      <c r="AL279" s="158">
        <v>1204170</v>
      </c>
      <c r="AM279" s="158">
        <v>2059200</v>
      </c>
      <c r="AN279" s="158">
        <v>1204170</v>
      </c>
      <c r="AO279" s="158">
        <v>1204170</v>
      </c>
      <c r="AP279" s="158">
        <v>1204000</v>
      </c>
      <c r="AQ279" s="432">
        <v>0</v>
      </c>
      <c r="AR279" s="432">
        <v>0</v>
      </c>
      <c r="AS279" s="432">
        <v>0</v>
      </c>
      <c r="AT279" s="432">
        <v>0</v>
      </c>
      <c r="AU279" s="432">
        <v>0</v>
      </c>
      <c r="AV279" s="432">
        <v>0</v>
      </c>
      <c r="AW279" s="432">
        <v>0</v>
      </c>
      <c r="AX279" s="432">
        <v>0</v>
      </c>
      <c r="AY279" s="158">
        <v>0</v>
      </c>
      <c r="AZ279" s="158">
        <v>0</v>
      </c>
      <c r="BA279" s="158">
        <v>0</v>
      </c>
      <c r="BB279" s="158">
        <v>0</v>
      </c>
      <c r="BC279" s="158">
        <v>0</v>
      </c>
      <c r="BD279" s="158">
        <v>0</v>
      </c>
      <c r="BE279" s="158">
        <v>0</v>
      </c>
      <c r="BF279" s="160">
        <v>0</v>
      </c>
      <c r="BG279" s="383">
        <v>2023</v>
      </c>
      <c r="BH279" s="383">
        <v>1</v>
      </c>
      <c r="BI279" s="383">
        <v>19</v>
      </c>
      <c r="BK279" s="147" t="str">
        <f>IF(R279=SUM(Z279,AH279,AP279,AX279,BF279),"○","×")</f>
        <v>○</v>
      </c>
    </row>
    <row r="280" spans="1:63" s="152" customFormat="1" x14ac:dyDescent="0.2">
      <c r="A280" s="428">
        <v>1473</v>
      </c>
      <c r="B280" s="429"/>
      <c r="C280" s="430"/>
      <c r="D280" s="429"/>
      <c r="E280" s="430"/>
      <c r="F280" s="429"/>
      <c r="G280" s="429"/>
      <c r="H280" s="430"/>
      <c r="I280" s="429"/>
      <c r="J280" s="429"/>
      <c r="K280" s="429"/>
      <c r="L280" s="383"/>
      <c r="M280" s="383" t="s">
        <v>331</v>
      </c>
      <c r="N280" s="383" t="s">
        <v>332</v>
      </c>
      <c r="O280" s="383" t="s">
        <v>333</v>
      </c>
      <c r="P280" s="383" t="s">
        <v>970</v>
      </c>
      <c r="Q280" s="383"/>
      <c r="R280" s="431">
        <v>221000</v>
      </c>
      <c r="S280" s="158">
        <v>0</v>
      </c>
      <c r="T280" s="158">
        <v>0</v>
      </c>
      <c r="U280" s="158">
        <v>0</v>
      </c>
      <c r="V280" s="158">
        <v>0</v>
      </c>
      <c r="W280" s="158">
        <v>0</v>
      </c>
      <c r="X280" s="158">
        <v>0</v>
      </c>
      <c r="Y280" s="158">
        <v>0</v>
      </c>
      <c r="Z280" s="158">
        <v>0</v>
      </c>
      <c r="AA280" s="432">
        <v>0</v>
      </c>
      <c r="AB280" s="432">
        <v>0</v>
      </c>
      <c r="AC280" s="432">
        <v>0</v>
      </c>
      <c r="AD280" s="432">
        <v>0</v>
      </c>
      <c r="AE280" s="432">
        <v>0</v>
      </c>
      <c r="AF280" s="432">
        <v>0</v>
      </c>
      <c r="AG280" s="432">
        <v>0</v>
      </c>
      <c r="AH280" s="432">
        <v>0</v>
      </c>
      <c r="AI280" s="158">
        <v>221600</v>
      </c>
      <c r="AJ280" s="158">
        <v>0</v>
      </c>
      <c r="AK280" s="158">
        <v>221600</v>
      </c>
      <c r="AL280" s="158">
        <v>221600</v>
      </c>
      <c r="AM280" s="158">
        <v>1656000</v>
      </c>
      <c r="AN280" s="158">
        <v>221600</v>
      </c>
      <c r="AO280" s="158">
        <v>221600</v>
      </c>
      <c r="AP280" s="158">
        <v>221000</v>
      </c>
      <c r="AQ280" s="432">
        <v>0</v>
      </c>
      <c r="AR280" s="432">
        <v>0</v>
      </c>
      <c r="AS280" s="432">
        <v>0</v>
      </c>
      <c r="AT280" s="432">
        <v>0</v>
      </c>
      <c r="AU280" s="432">
        <v>0</v>
      </c>
      <c r="AV280" s="432">
        <v>0</v>
      </c>
      <c r="AW280" s="432">
        <v>0</v>
      </c>
      <c r="AX280" s="432">
        <v>0</v>
      </c>
      <c r="AY280" s="158">
        <v>0</v>
      </c>
      <c r="AZ280" s="158">
        <v>0</v>
      </c>
      <c r="BA280" s="158">
        <v>0</v>
      </c>
      <c r="BB280" s="158">
        <v>0</v>
      </c>
      <c r="BC280" s="158">
        <v>0</v>
      </c>
      <c r="BD280" s="158">
        <v>0</v>
      </c>
      <c r="BE280" s="158">
        <v>0</v>
      </c>
      <c r="BF280" s="160">
        <v>0</v>
      </c>
      <c r="BG280" s="383">
        <v>2023</v>
      </c>
      <c r="BH280" s="383">
        <v>1</v>
      </c>
      <c r="BI280" s="383">
        <v>19</v>
      </c>
      <c r="BJ280" s="148"/>
      <c r="BK280" s="147" t="str">
        <f>IF(R280=SUM(Z280,AH280,AP280,AX280,BF280),"○","×")</f>
        <v>○</v>
      </c>
    </row>
    <row r="281" spans="1:63" x14ac:dyDescent="0.2">
      <c r="A281" s="428">
        <v>1474</v>
      </c>
      <c r="B281" s="429"/>
      <c r="C281" s="430"/>
      <c r="D281" s="429"/>
      <c r="E281" s="430"/>
      <c r="F281" s="429"/>
      <c r="G281" s="429"/>
      <c r="H281" s="430"/>
      <c r="I281" s="429"/>
      <c r="J281" s="429"/>
      <c r="K281" s="429"/>
      <c r="L281" s="383"/>
      <c r="M281" s="383" t="s">
        <v>724</v>
      </c>
      <c r="N281" s="383" t="s">
        <v>367</v>
      </c>
      <c r="O281" s="383" t="s">
        <v>391</v>
      </c>
      <c r="P281" s="383" t="s">
        <v>970</v>
      </c>
      <c r="Q281" s="383"/>
      <c r="R281" s="431">
        <v>1102000</v>
      </c>
      <c r="S281" s="158">
        <v>0</v>
      </c>
      <c r="T281" s="158">
        <v>0</v>
      </c>
      <c r="U281" s="158">
        <v>0</v>
      </c>
      <c r="V281" s="158">
        <v>0</v>
      </c>
      <c r="W281" s="158">
        <v>0</v>
      </c>
      <c r="X281" s="158">
        <v>0</v>
      </c>
      <c r="Y281" s="158">
        <v>0</v>
      </c>
      <c r="Z281" s="158">
        <v>0</v>
      </c>
      <c r="AA281" s="432">
        <v>0</v>
      </c>
      <c r="AB281" s="432">
        <v>0</v>
      </c>
      <c r="AC281" s="432">
        <v>0</v>
      </c>
      <c r="AD281" s="432">
        <v>0</v>
      </c>
      <c r="AE281" s="432">
        <v>0</v>
      </c>
      <c r="AF281" s="432">
        <v>0</v>
      </c>
      <c r="AG281" s="432">
        <v>0</v>
      </c>
      <c r="AH281" s="432">
        <v>0</v>
      </c>
      <c r="AI281" s="158">
        <v>1102892</v>
      </c>
      <c r="AJ281" s="158">
        <v>0</v>
      </c>
      <c r="AK281" s="158">
        <v>1102892</v>
      </c>
      <c r="AL281" s="158">
        <v>1102892</v>
      </c>
      <c r="AM281" s="158">
        <v>2808000</v>
      </c>
      <c r="AN281" s="158">
        <v>1102892</v>
      </c>
      <c r="AO281" s="158">
        <v>1102892</v>
      </c>
      <c r="AP281" s="158">
        <v>1102000</v>
      </c>
      <c r="AQ281" s="432">
        <v>0</v>
      </c>
      <c r="AR281" s="432">
        <v>0</v>
      </c>
      <c r="AS281" s="432">
        <v>0</v>
      </c>
      <c r="AT281" s="432">
        <v>0</v>
      </c>
      <c r="AU281" s="432">
        <v>0</v>
      </c>
      <c r="AV281" s="432">
        <v>0</v>
      </c>
      <c r="AW281" s="432">
        <v>0</v>
      </c>
      <c r="AX281" s="432">
        <v>0</v>
      </c>
      <c r="AY281" s="158">
        <v>0</v>
      </c>
      <c r="AZ281" s="158">
        <v>0</v>
      </c>
      <c r="BA281" s="158">
        <v>0</v>
      </c>
      <c r="BB281" s="158">
        <v>0</v>
      </c>
      <c r="BC281" s="158">
        <v>0</v>
      </c>
      <c r="BD281" s="158">
        <v>0</v>
      </c>
      <c r="BE281" s="158">
        <v>0</v>
      </c>
      <c r="BF281" s="160">
        <v>0</v>
      </c>
      <c r="BG281" s="383">
        <v>2023</v>
      </c>
      <c r="BH281" s="383">
        <v>1</v>
      </c>
      <c r="BI281" s="383">
        <v>19</v>
      </c>
      <c r="BK281" s="147" t="str">
        <f>IF(R281=SUM(Z281,AH281,AP281,AX281,BF281),"○","×")</f>
        <v>○</v>
      </c>
    </row>
    <row r="282" spans="1:63" x14ac:dyDescent="0.2">
      <c r="A282" s="428">
        <v>1475</v>
      </c>
      <c r="B282" s="429"/>
      <c r="C282" s="430"/>
      <c r="D282" s="429"/>
      <c r="E282" s="430"/>
      <c r="F282" s="429"/>
      <c r="G282" s="429"/>
      <c r="H282" s="430"/>
      <c r="I282" s="429"/>
      <c r="J282" s="429"/>
      <c r="K282" s="429"/>
      <c r="L282" s="383"/>
      <c r="M282" s="383">
        <v>1530038</v>
      </c>
      <c r="N282" s="383" t="s">
        <v>353</v>
      </c>
      <c r="O282" s="383" t="s">
        <v>358</v>
      </c>
      <c r="P282" s="383" t="s">
        <v>970</v>
      </c>
      <c r="Q282" s="383"/>
      <c r="R282" s="431">
        <v>239000</v>
      </c>
      <c r="S282" s="158">
        <v>0</v>
      </c>
      <c r="T282" s="158">
        <v>0</v>
      </c>
      <c r="U282" s="158">
        <v>0</v>
      </c>
      <c r="V282" s="158">
        <v>0</v>
      </c>
      <c r="W282" s="158">
        <v>0</v>
      </c>
      <c r="X282" s="158">
        <v>0</v>
      </c>
      <c r="Y282" s="158">
        <v>0</v>
      </c>
      <c r="Z282" s="158">
        <v>0</v>
      </c>
      <c r="AA282" s="432">
        <v>0</v>
      </c>
      <c r="AB282" s="432">
        <v>0</v>
      </c>
      <c r="AC282" s="432">
        <v>0</v>
      </c>
      <c r="AD282" s="432">
        <v>0</v>
      </c>
      <c r="AE282" s="432">
        <v>0</v>
      </c>
      <c r="AF282" s="432">
        <v>0</v>
      </c>
      <c r="AG282" s="432">
        <v>0</v>
      </c>
      <c r="AH282" s="432">
        <v>0</v>
      </c>
      <c r="AI282" s="158">
        <v>239250</v>
      </c>
      <c r="AJ282" s="158">
        <v>0</v>
      </c>
      <c r="AK282" s="158">
        <v>239250</v>
      </c>
      <c r="AL282" s="158">
        <v>239250</v>
      </c>
      <c r="AM282" s="158">
        <v>864000</v>
      </c>
      <c r="AN282" s="158">
        <v>239250</v>
      </c>
      <c r="AO282" s="158">
        <v>239250</v>
      </c>
      <c r="AP282" s="158">
        <v>239000</v>
      </c>
      <c r="AQ282" s="432">
        <v>0</v>
      </c>
      <c r="AR282" s="432">
        <v>0</v>
      </c>
      <c r="AS282" s="432">
        <v>0</v>
      </c>
      <c r="AT282" s="432">
        <v>0</v>
      </c>
      <c r="AU282" s="432">
        <v>0</v>
      </c>
      <c r="AV282" s="432">
        <v>0</v>
      </c>
      <c r="AW282" s="432">
        <v>0</v>
      </c>
      <c r="AX282" s="432">
        <v>0</v>
      </c>
      <c r="AY282" s="158">
        <v>0</v>
      </c>
      <c r="AZ282" s="158">
        <v>0</v>
      </c>
      <c r="BA282" s="158">
        <v>0</v>
      </c>
      <c r="BB282" s="158">
        <v>0</v>
      </c>
      <c r="BC282" s="158">
        <v>0</v>
      </c>
      <c r="BD282" s="158">
        <v>0</v>
      </c>
      <c r="BE282" s="158">
        <v>0</v>
      </c>
      <c r="BF282" s="160">
        <v>0</v>
      </c>
      <c r="BG282" s="383">
        <v>2023</v>
      </c>
      <c r="BH282" s="383">
        <v>1</v>
      </c>
      <c r="BI282" s="383">
        <v>19</v>
      </c>
      <c r="BJ282" s="152"/>
      <c r="BK282" s="147" t="str">
        <f>IF(R282=SUM(Z282,AH282,AP282,AX282,BF282),"○","×")</f>
        <v>○</v>
      </c>
    </row>
    <row r="283" spans="1:63" x14ac:dyDescent="0.2">
      <c r="A283" s="428">
        <v>1476</v>
      </c>
      <c r="B283" s="429"/>
      <c r="C283" s="430"/>
      <c r="D283" s="429"/>
      <c r="E283" s="430"/>
      <c r="F283" s="429"/>
      <c r="G283" s="429"/>
      <c r="H283" s="430"/>
      <c r="I283" s="429"/>
      <c r="J283" s="429"/>
      <c r="K283" s="429"/>
      <c r="L283" s="383"/>
      <c r="M283" s="383">
        <v>1554044</v>
      </c>
      <c r="N283" s="383" t="s">
        <v>447</v>
      </c>
      <c r="O283" s="383" t="s">
        <v>725</v>
      </c>
      <c r="P283" s="383" t="s">
        <v>970</v>
      </c>
      <c r="Q283" s="383"/>
      <c r="R283" s="431">
        <v>121000</v>
      </c>
      <c r="S283" s="158">
        <v>0</v>
      </c>
      <c r="T283" s="158">
        <v>0</v>
      </c>
      <c r="U283" s="158">
        <v>0</v>
      </c>
      <c r="V283" s="158">
        <v>0</v>
      </c>
      <c r="W283" s="158">
        <v>0</v>
      </c>
      <c r="X283" s="158">
        <v>0</v>
      </c>
      <c r="Y283" s="158">
        <v>0</v>
      </c>
      <c r="Z283" s="158">
        <v>0</v>
      </c>
      <c r="AA283" s="432">
        <v>0</v>
      </c>
      <c r="AB283" s="432">
        <v>0</v>
      </c>
      <c r="AC283" s="432">
        <v>0</v>
      </c>
      <c r="AD283" s="432">
        <v>0</v>
      </c>
      <c r="AE283" s="432">
        <v>0</v>
      </c>
      <c r="AF283" s="432">
        <v>0</v>
      </c>
      <c r="AG283" s="432">
        <v>0</v>
      </c>
      <c r="AH283" s="432">
        <v>0</v>
      </c>
      <c r="AI283" s="158">
        <v>121956</v>
      </c>
      <c r="AJ283" s="158">
        <v>0</v>
      </c>
      <c r="AK283" s="158">
        <v>121956</v>
      </c>
      <c r="AL283" s="158">
        <v>121956</v>
      </c>
      <c r="AM283" s="158">
        <v>4320000</v>
      </c>
      <c r="AN283" s="158">
        <v>121956</v>
      </c>
      <c r="AO283" s="158">
        <v>121956</v>
      </c>
      <c r="AP283" s="158">
        <v>121000</v>
      </c>
      <c r="AQ283" s="432">
        <v>0</v>
      </c>
      <c r="AR283" s="432">
        <v>0</v>
      </c>
      <c r="AS283" s="432">
        <v>0</v>
      </c>
      <c r="AT283" s="432">
        <v>0</v>
      </c>
      <c r="AU283" s="432">
        <v>0</v>
      </c>
      <c r="AV283" s="432">
        <v>0</v>
      </c>
      <c r="AW283" s="432">
        <v>0</v>
      </c>
      <c r="AX283" s="432">
        <v>0</v>
      </c>
      <c r="AY283" s="158">
        <v>0</v>
      </c>
      <c r="AZ283" s="158">
        <v>0</v>
      </c>
      <c r="BA283" s="158">
        <v>0</v>
      </c>
      <c r="BB283" s="158">
        <v>0</v>
      </c>
      <c r="BC283" s="158">
        <v>0</v>
      </c>
      <c r="BD283" s="158">
        <v>0</v>
      </c>
      <c r="BE283" s="158">
        <v>0</v>
      </c>
      <c r="BF283" s="160">
        <v>0</v>
      </c>
      <c r="BG283" s="383">
        <v>2023</v>
      </c>
      <c r="BH283" s="383">
        <v>1</v>
      </c>
      <c r="BI283" s="383">
        <v>19</v>
      </c>
      <c r="BK283" s="147" t="str">
        <f>IF(R283=SUM(Z283,AH283,AP283,AX283,BF283),"○","×")</f>
        <v>○</v>
      </c>
    </row>
    <row r="284" spans="1:63" x14ac:dyDescent="0.2">
      <c r="A284" s="428">
        <v>1477</v>
      </c>
      <c r="B284" s="429"/>
      <c r="C284" s="430"/>
      <c r="D284" s="429"/>
      <c r="E284" s="430"/>
      <c r="F284" s="429"/>
      <c r="G284" s="429"/>
      <c r="H284" s="430"/>
      <c r="I284" s="429"/>
      <c r="J284" s="429"/>
      <c r="K284" s="429"/>
      <c r="L284" s="383"/>
      <c r="M284" s="383" t="s">
        <v>726</v>
      </c>
      <c r="N284" s="383" t="s">
        <v>360</v>
      </c>
      <c r="O284" s="383" t="s">
        <v>464</v>
      </c>
      <c r="P284" s="383" t="s">
        <v>970</v>
      </c>
      <c r="Q284" s="146"/>
      <c r="R284" s="431">
        <v>288000</v>
      </c>
      <c r="S284" s="158">
        <v>0</v>
      </c>
      <c r="T284" s="158">
        <v>0</v>
      </c>
      <c r="U284" s="158">
        <v>0</v>
      </c>
      <c r="V284" s="158">
        <v>0</v>
      </c>
      <c r="W284" s="158">
        <v>0</v>
      </c>
      <c r="X284" s="158">
        <v>0</v>
      </c>
      <c r="Y284" s="158">
        <v>0</v>
      </c>
      <c r="Z284" s="158">
        <v>0</v>
      </c>
      <c r="AA284" s="432">
        <v>0</v>
      </c>
      <c r="AB284" s="432">
        <v>0</v>
      </c>
      <c r="AC284" s="432">
        <v>0</v>
      </c>
      <c r="AD284" s="432">
        <v>0</v>
      </c>
      <c r="AE284" s="432">
        <v>0</v>
      </c>
      <c r="AF284" s="432">
        <v>0</v>
      </c>
      <c r="AG284" s="432">
        <v>0</v>
      </c>
      <c r="AH284" s="432">
        <v>0</v>
      </c>
      <c r="AI284" s="158">
        <v>288592</v>
      </c>
      <c r="AJ284" s="158">
        <v>0</v>
      </c>
      <c r="AK284" s="158">
        <v>288592</v>
      </c>
      <c r="AL284" s="158">
        <v>288592</v>
      </c>
      <c r="AM284" s="158">
        <v>1713600</v>
      </c>
      <c r="AN284" s="158">
        <v>288592</v>
      </c>
      <c r="AO284" s="158">
        <v>288592</v>
      </c>
      <c r="AP284" s="158">
        <v>288000</v>
      </c>
      <c r="AQ284" s="432">
        <v>0</v>
      </c>
      <c r="AR284" s="432">
        <v>0</v>
      </c>
      <c r="AS284" s="432">
        <v>0</v>
      </c>
      <c r="AT284" s="432">
        <v>0</v>
      </c>
      <c r="AU284" s="432">
        <v>0</v>
      </c>
      <c r="AV284" s="432">
        <v>0</v>
      </c>
      <c r="AW284" s="432">
        <v>0</v>
      </c>
      <c r="AX284" s="432">
        <v>0</v>
      </c>
      <c r="AY284" s="158">
        <v>0</v>
      </c>
      <c r="AZ284" s="158">
        <v>0</v>
      </c>
      <c r="BA284" s="158">
        <v>0</v>
      </c>
      <c r="BB284" s="158">
        <v>0</v>
      </c>
      <c r="BC284" s="158">
        <v>0</v>
      </c>
      <c r="BD284" s="158">
        <v>0</v>
      </c>
      <c r="BE284" s="158">
        <v>0</v>
      </c>
      <c r="BF284" s="160">
        <v>0</v>
      </c>
      <c r="BG284" s="383">
        <v>2023</v>
      </c>
      <c r="BH284" s="383">
        <v>1</v>
      </c>
      <c r="BI284" s="383">
        <v>19</v>
      </c>
      <c r="BK284" s="147" t="str">
        <f>IF(R284=SUM(Z284,AH284,AP284,AX284,BF284),"○","×")</f>
        <v>○</v>
      </c>
    </row>
    <row r="285" spans="1:63" x14ac:dyDescent="0.2">
      <c r="A285" s="428">
        <v>1479</v>
      </c>
      <c r="B285" s="429"/>
      <c r="C285" s="430"/>
      <c r="D285" s="429"/>
      <c r="E285" s="430"/>
      <c r="F285" s="429"/>
      <c r="G285" s="429"/>
      <c r="H285" s="430"/>
      <c r="I285" s="429"/>
      <c r="J285" s="429"/>
      <c r="K285" s="429"/>
      <c r="L285" s="383"/>
      <c r="M285" s="383" t="s">
        <v>727</v>
      </c>
      <c r="N285" s="383" t="s">
        <v>332</v>
      </c>
      <c r="O285" s="383" t="s">
        <v>728</v>
      </c>
      <c r="P285" s="383" t="s">
        <v>970</v>
      </c>
      <c r="Q285" s="383"/>
      <c r="R285" s="431">
        <v>98000</v>
      </c>
      <c r="S285" s="158">
        <v>0</v>
      </c>
      <c r="T285" s="158">
        <v>0</v>
      </c>
      <c r="U285" s="158">
        <v>0</v>
      </c>
      <c r="V285" s="158">
        <v>0</v>
      </c>
      <c r="W285" s="158">
        <v>0</v>
      </c>
      <c r="X285" s="158">
        <v>0</v>
      </c>
      <c r="Y285" s="158">
        <v>0</v>
      </c>
      <c r="Z285" s="158">
        <v>0</v>
      </c>
      <c r="AA285" s="432">
        <v>0</v>
      </c>
      <c r="AB285" s="432">
        <v>0</v>
      </c>
      <c r="AC285" s="432">
        <v>0</v>
      </c>
      <c r="AD285" s="432">
        <v>0</v>
      </c>
      <c r="AE285" s="432">
        <v>0</v>
      </c>
      <c r="AF285" s="432">
        <v>0</v>
      </c>
      <c r="AG285" s="432">
        <v>0</v>
      </c>
      <c r="AH285" s="432">
        <v>0</v>
      </c>
      <c r="AI285" s="158">
        <v>98230</v>
      </c>
      <c r="AJ285" s="158">
        <v>0</v>
      </c>
      <c r="AK285" s="158">
        <v>98230</v>
      </c>
      <c r="AL285" s="158">
        <v>98230</v>
      </c>
      <c r="AM285" s="158">
        <v>1296000</v>
      </c>
      <c r="AN285" s="158">
        <v>98230</v>
      </c>
      <c r="AO285" s="158">
        <v>98230</v>
      </c>
      <c r="AP285" s="158">
        <v>98000</v>
      </c>
      <c r="AQ285" s="432">
        <v>0</v>
      </c>
      <c r="AR285" s="432">
        <v>0</v>
      </c>
      <c r="AS285" s="432">
        <v>0</v>
      </c>
      <c r="AT285" s="432">
        <v>0</v>
      </c>
      <c r="AU285" s="432">
        <v>0</v>
      </c>
      <c r="AV285" s="432">
        <v>0</v>
      </c>
      <c r="AW285" s="432">
        <v>0</v>
      </c>
      <c r="AX285" s="432">
        <v>0</v>
      </c>
      <c r="AY285" s="158">
        <v>0</v>
      </c>
      <c r="AZ285" s="158">
        <v>0</v>
      </c>
      <c r="BA285" s="158">
        <v>0</v>
      </c>
      <c r="BB285" s="158">
        <v>0</v>
      </c>
      <c r="BC285" s="158">
        <v>0</v>
      </c>
      <c r="BD285" s="158">
        <v>0</v>
      </c>
      <c r="BE285" s="158">
        <v>0</v>
      </c>
      <c r="BF285" s="160">
        <v>0</v>
      </c>
      <c r="BG285" s="383">
        <v>2023</v>
      </c>
      <c r="BH285" s="383">
        <v>1</v>
      </c>
      <c r="BI285" s="383">
        <v>19</v>
      </c>
      <c r="BK285" s="147" t="str">
        <f>IF(R285=SUM(Z285,AH285,AP285,AX285,BF285),"○","×")</f>
        <v>○</v>
      </c>
    </row>
    <row r="286" spans="1:63" s="152" customFormat="1" x14ac:dyDescent="0.2">
      <c r="A286" s="428">
        <v>1480</v>
      </c>
      <c r="B286" s="429"/>
      <c r="C286" s="430"/>
      <c r="D286" s="429"/>
      <c r="E286" s="430"/>
      <c r="F286" s="429"/>
      <c r="G286" s="429"/>
      <c r="H286" s="430"/>
      <c r="I286" s="429"/>
      <c r="J286" s="429"/>
      <c r="K286" s="429"/>
      <c r="L286" s="383"/>
      <c r="M286" s="383" t="s">
        <v>424</v>
      </c>
      <c r="N286" s="383" t="s">
        <v>356</v>
      </c>
      <c r="O286" s="383" t="s">
        <v>425</v>
      </c>
      <c r="P286" s="383" t="s">
        <v>970</v>
      </c>
      <c r="Q286" s="146"/>
      <c r="R286" s="431">
        <v>264000</v>
      </c>
      <c r="S286" s="158">
        <v>0</v>
      </c>
      <c r="T286" s="158">
        <v>0</v>
      </c>
      <c r="U286" s="158">
        <v>0</v>
      </c>
      <c r="V286" s="158">
        <v>0</v>
      </c>
      <c r="W286" s="158">
        <v>0</v>
      </c>
      <c r="X286" s="158">
        <v>0</v>
      </c>
      <c r="Y286" s="158">
        <v>0</v>
      </c>
      <c r="Z286" s="158">
        <v>0</v>
      </c>
      <c r="AA286" s="432">
        <v>0</v>
      </c>
      <c r="AB286" s="432">
        <v>0</v>
      </c>
      <c r="AC286" s="432">
        <v>0</v>
      </c>
      <c r="AD286" s="432">
        <v>0</v>
      </c>
      <c r="AE286" s="432">
        <v>0</v>
      </c>
      <c r="AF286" s="432">
        <v>0</v>
      </c>
      <c r="AG286" s="432">
        <v>0</v>
      </c>
      <c r="AH286" s="432">
        <v>0</v>
      </c>
      <c r="AI286" s="158">
        <v>264365</v>
      </c>
      <c r="AJ286" s="158">
        <v>0</v>
      </c>
      <c r="AK286" s="158">
        <v>264365</v>
      </c>
      <c r="AL286" s="158">
        <v>264365</v>
      </c>
      <c r="AM286" s="158">
        <v>5472000</v>
      </c>
      <c r="AN286" s="158">
        <v>264365</v>
      </c>
      <c r="AO286" s="158">
        <v>264365</v>
      </c>
      <c r="AP286" s="158">
        <v>264000</v>
      </c>
      <c r="AQ286" s="432">
        <v>0</v>
      </c>
      <c r="AR286" s="432">
        <v>0</v>
      </c>
      <c r="AS286" s="432">
        <v>0</v>
      </c>
      <c r="AT286" s="432">
        <v>0</v>
      </c>
      <c r="AU286" s="432">
        <v>0</v>
      </c>
      <c r="AV286" s="432">
        <v>0</v>
      </c>
      <c r="AW286" s="432">
        <v>0</v>
      </c>
      <c r="AX286" s="432">
        <v>0</v>
      </c>
      <c r="AY286" s="158">
        <v>0</v>
      </c>
      <c r="AZ286" s="158">
        <v>0</v>
      </c>
      <c r="BA286" s="158">
        <v>0</v>
      </c>
      <c r="BB286" s="158">
        <v>0</v>
      </c>
      <c r="BC286" s="158">
        <v>0</v>
      </c>
      <c r="BD286" s="158">
        <v>0</v>
      </c>
      <c r="BE286" s="158">
        <v>0</v>
      </c>
      <c r="BF286" s="160">
        <v>0</v>
      </c>
      <c r="BG286" s="383">
        <v>2023</v>
      </c>
      <c r="BH286" s="383">
        <v>1</v>
      </c>
      <c r="BI286" s="383">
        <v>19</v>
      </c>
      <c r="BJ286" s="148"/>
      <c r="BK286" s="147" t="str">
        <f>IF(R286=SUM(Z286,AH286,AP286,AX286,BF286),"○","×")</f>
        <v>○</v>
      </c>
    </row>
    <row r="287" spans="1:63" x14ac:dyDescent="0.2">
      <c r="A287" s="428">
        <v>1481</v>
      </c>
      <c r="B287" s="429"/>
      <c r="C287" s="430"/>
      <c r="D287" s="429"/>
      <c r="E287" s="430"/>
      <c r="F287" s="429"/>
      <c r="G287" s="429"/>
      <c r="H287" s="430"/>
      <c r="I287" s="429"/>
      <c r="J287" s="429"/>
      <c r="K287" s="429"/>
      <c r="L287" s="383"/>
      <c r="M287" s="383" t="s">
        <v>729</v>
      </c>
      <c r="N287" s="383" t="s">
        <v>427</v>
      </c>
      <c r="O287" s="383" t="s">
        <v>730</v>
      </c>
      <c r="P287" s="383" t="s">
        <v>970</v>
      </c>
      <c r="Q287" s="383"/>
      <c r="R287" s="431">
        <v>1822000</v>
      </c>
      <c r="S287" s="158">
        <v>0</v>
      </c>
      <c r="T287" s="158">
        <v>0</v>
      </c>
      <c r="U287" s="158">
        <v>0</v>
      </c>
      <c r="V287" s="158">
        <v>0</v>
      </c>
      <c r="W287" s="158">
        <v>0</v>
      </c>
      <c r="X287" s="158">
        <v>0</v>
      </c>
      <c r="Y287" s="158">
        <v>0</v>
      </c>
      <c r="Z287" s="158">
        <v>0</v>
      </c>
      <c r="AA287" s="432">
        <v>0</v>
      </c>
      <c r="AB287" s="432">
        <v>0</v>
      </c>
      <c r="AC287" s="432">
        <v>0</v>
      </c>
      <c r="AD287" s="432">
        <v>0</v>
      </c>
      <c r="AE287" s="432">
        <v>0</v>
      </c>
      <c r="AF287" s="432">
        <v>0</v>
      </c>
      <c r="AG287" s="432">
        <v>0</v>
      </c>
      <c r="AH287" s="432">
        <v>0</v>
      </c>
      <c r="AI287" s="158">
        <v>1822946</v>
      </c>
      <c r="AJ287" s="158">
        <v>0</v>
      </c>
      <c r="AK287" s="158">
        <v>1822946</v>
      </c>
      <c r="AL287" s="158">
        <v>1822946</v>
      </c>
      <c r="AM287" s="158">
        <v>2772000</v>
      </c>
      <c r="AN287" s="158">
        <v>1822946</v>
      </c>
      <c r="AO287" s="158">
        <v>1822946</v>
      </c>
      <c r="AP287" s="158">
        <v>1822000</v>
      </c>
      <c r="AQ287" s="432">
        <v>0</v>
      </c>
      <c r="AR287" s="432">
        <v>0</v>
      </c>
      <c r="AS287" s="432">
        <v>0</v>
      </c>
      <c r="AT287" s="432">
        <v>0</v>
      </c>
      <c r="AU287" s="432">
        <v>0</v>
      </c>
      <c r="AV287" s="432">
        <v>0</v>
      </c>
      <c r="AW287" s="432">
        <v>0</v>
      </c>
      <c r="AX287" s="432">
        <v>0</v>
      </c>
      <c r="AY287" s="158">
        <v>0</v>
      </c>
      <c r="AZ287" s="158">
        <v>0</v>
      </c>
      <c r="BA287" s="158">
        <v>0</v>
      </c>
      <c r="BB287" s="158">
        <v>0</v>
      </c>
      <c r="BC287" s="158">
        <v>0</v>
      </c>
      <c r="BD287" s="158">
        <v>0</v>
      </c>
      <c r="BE287" s="158">
        <v>0</v>
      </c>
      <c r="BF287" s="160">
        <v>0</v>
      </c>
      <c r="BG287" s="383">
        <v>2023</v>
      </c>
      <c r="BH287" s="383">
        <v>1</v>
      </c>
      <c r="BI287" s="383">
        <v>19</v>
      </c>
      <c r="BK287" s="147" t="str">
        <f>IF(R287=SUM(Z287,AH287,AP287,AX287,BF287),"○","×")</f>
        <v>○</v>
      </c>
    </row>
    <row r="288" spans="1:63" x14ac:dyDescent="0.2">
      <c r="A288" s="428">
        <v>1482</v>
      </c>
      <c r="B288" s="429"/>
      <c r="C288" s="430"/>
      <c r="D288" s="429"/>
      <c r="E288" s="430"/>
      <c r="F288" s="429"/>
      <c r="G288" s="429"/>
      <c r="H288" s="430"/>
      <c r="I288" s="429"/>
      <c r="J288" s="429"/>
      <c r="K288" s="429"/>
      <c r="L288" s="383"/>
      <c r="M288" s="383" t="s">
        <v>731</v>
      </c>
      <c r="N288" s="383" t="s">
        <v>340</v>
      </c>
      <c r="O288" s="383" t="s">
        <v>515</v>
      </c>
      <c r="P288" s="383" t="s">
        <v>970</v>
      </c>
      <c r="Q288" s="383"/>
      <c r="R288" s="431">
        <v>144000</v>
      </c>
      <c r="S288" s="158">
        <v>0</v>
      </c>
      <c r="T288" s="158">
        <v>0</v>
      </c>
      <c r="U288" s="158">
        <v>0</v>
      </c>
      <c r="V288" s="158">
        <v>0</v>
      </c>
      <c r="W288" s="158">
        <v>0</v>
      </c>
      <c r="X288" s="158">
        <v>0</v>
      </c>
      <c r="Y288" s="158">
        <v>0</v>
      </c>
      <c r="Z288" s="158">
        <v>0</v>
      </c>
      <c r="AA288" s="432">
        <v>0</v>
      </c>
      <c r="AB288" s="432">
        <v>0</v>
      </c>
      <c r="AC288" s="432">
        <v>0</v>
      </c>
      <c r="AD288" s="432">
        <v>0</v>
      </c>
      <c r="AE288" s="432">
        <v>0</v>
      </c>
      <c r="AF288" s="432">
        <v>0</v>
      </c>
      <c r="AG288" s="432">
        <v>0</v>
      </c>
      <c r="AH288" s="432">
        <v>0</v>
      </c>
      <c r="AI288" s="158">
        <v>144452</v>
      </c>
      <c r="AJ288" s="158">
        <v>0</v>
      </c>
      <c r="AK288" s="158">
        <v>144452</v>
      </c>
      <c r="AL288" s="158">
        <v>144452</v>
      </c>
      <c r="AM288" s="158">
        <v>7938000</v>
      </c>
      <c r="AN288" s="158">
        <v>144452</v>
      </c>
      <c r="AO288" s="158">
        <v>144452</v>
      </c>
      <c r="AP288" s="158">
        <v>144000</v>
      </c>
      <c r="AQ288" s="432">
        <v>0</v>
      </c>
      <c r="AR288" s="432">
        <v>0</v>
      </c>
      <c r="AS288" s="432">
        <v>0</v>
      </c>
      <c r="AT288" s="432">
        <v>0</v>
      </c>
      <c r="AU288" s="432">
        <v>0</v>
      </c>
      <c r="AV288" s="432">
        <v>0</v>
      </c>
      <c r="AW288" s="432">
        <v>0</v>
      </c>
      <c r="AX288" s="432">
        <v>0</v>
      </c>
      <c r="AY288" s="158">
        <v>0</v>
      </c>
      <c r="AZ288" s="158">
        <v>0</v>
      </c>
      <c r="BA288" s="158">
        <v>0</v>
      </c>
      <c r="BB288" s="158">
        <v>0</v>
      </c>
      <c r="BC288" s="158">
        <v>0</v>
      </c>
      <c r="BD288" s="158">
        <v>0</v>
      </c>
      <c r="BE288" s="158">
        <v>0</v>
      </c>
      <c r="BF288" s="160">
        <v>0</v>
      </c>
      <c r="BG288" s="383">
        <v>2023</v>
      </c>
      <c r="BH288" s="383">
        <v>1</v>
      </c>
      <c r="BI288" s="383">
        <v>19</v>
      </c>
      <c r="BJ288" s="152"/>
      <c r="BK288" s="147" t="str">
        <f>IF(R288=SUM(Z288,AH288,AP288,AX288,BF288),"○","×")</f>
        <v>○</v>
      </c>
    </row>
    <row r="289" spans="1:63" x14ac:dyDescent="0.2">
      <c r="A289" s="428">
        <v>1483</v>
      </c>
      <c r="B289" s="429"/>
      <c r="C289" s="430"/>
      <c r="D289" s="429"/>
      <c r="E289" s="430"/>
      <c r="F289" s="429"/>
      <c r="G289" s="429"/>
      <c r="H289" s="430"/>
      <c r="I289" s="429"/>
      <c r="J289" s="429"/>
      <c r="K289" s="429"/>
      <c r="L289" s="383"/>
      <c r="M289" s="383" t="s">
        <v>732</v>
      </c>
      <c r="N289" s="383" t="s">
        <v>329</v>
      </c>
      <c r="O289" s="383" t="s">
        <v>733</v>
      </c>
      <c r="P289" s="383" t="s">
        <v>970</v>
      </c>
      <c r="Q289" s="383"/>
      <c r="R289" s="431">
        <v>262000</v>
      </c>
      <c r="S289" s="158">
        <v>0</v>
      </c>
      <c r="T289" s="158">
        <v>0</v>
      </c>
      <c r="U289" s="158">
        <v>0</v>
      </c>
      <c r="V289" s="158">
        <v>0</v>
      </c>
      <c r="W289" s="158">
        <v>0</v>
      </c>
      <c r="X289" s="158">
        <v>0</v>
      </c>
      <c r="Y289" s="158">
        <v>0</v>
      </c>
      <c r="Z289" s="158">
        <v>0</v>
      </c>
      <c r="AA289" s="432">
        <v>0</v>
      </c>
      <c r="AB289" s="432">
        <v>0</v>
      </c>
      <c r="AC289" s="432">
        <v>0</v>
      </c>
      <c r="AD289" s="432">
        <v>0</v>
      </c>
      <c r="AE289" s="432">
        <v>0</v>
      </c>
      <c r="AF289" s="432">
        <v>0</v>
      </c>
      <c r="AG289" s="432">
        <v>0</v>
      </c>
      <c r="AH289" s="432">
        <v>0</v>
      </c>
      <c r="AI289" s="158">
        <v>262975</v>
      </c>
      <c r="AJ289" s="158">
        <v>0</v>
      </c>
      <c r="AK289" s="158">
        <v>262975</v>
      </c>
      <c r="AL289" s="158">
        <v>262975</v>
      </c>
      <c r="AM289" s="158">
        <v>5227200</v>
      </c>
      <c r="AN289" s="158">
        <v>262975</v>
      </c>
      <c r="AO289" s="158">
        <v>262975</v>
      </c>
      <c r="AP289" s="158">
        <v>262000</v>
      </c>
      <c r="AQ289" s="432">
        <v>0</v>
      </c>
      <c r="AR289" s="432">
        <v>0</v>
      </c>
      <c r="AS289" s="432">
        <v>0</v>
      </c>
      <c r="AT289" s="432">
        <v>0</v>
      </c>
      <c r="AU289" s="432">
        <v>0</v>
      </c>
      <c r="AV289" s="432">
        <v>0</v>
      </c>
      <c r="AW289" s="432">
        <v>0</v>
      </c>
      <c r="AX289" s="432">
        <v>0</v>
      </c>
      <c r="AY289" s="158">
        <v>0</v>
      </c>
      <c r="AZ289" s="158">
        <v>0</v>
      </c>
      <c r="BA289" s="158">
        <v>0</v>
      </c>
      <c r="BB289" s="158">
        <v>0</v>
      </c>
      <c r="BC289" s="158">
        <v>0</v>
      </c>
      <c r="BD289" s="158">
        <v>0</v>
      </c>
      <c r="BE289" s="158">
        <v>0</v>
      </c>
      <c r="BF289" s="160">
        <v>0</v>
      </c>
      <c r="BG289" s="383">
        <v>2023</v>
      </c>
      <c r="BH289" s="383">
        <v>1</v>
      </c>
      <c r="BI289" s="383">
        <v>19</v>
      </c>
      <c r="BK289" s="147" t="str">
        <f>IF(R289=SUM(Z289,AH289,AP289,AX289,BF289),"○","×")</f>
        <v>○</v>
      </c>
    </row>
    <row r="290" spans="1:63" x14ac:dyDescent="0.2">
      <c r="A290" s="428">
        <v>1484</v>
      </c>
      <c r="B290" s="429"/>
      <c r="C290" s="430"/>
      <c r="D290" s="429"/>
      <c r="E290" s="430"/>
      <c r="F290" s="429"/>
      <c r="G290" s="429"/>
      <c r="H290" s="430"/>
      <c r="I290" s="429"/>
      <c r="J290" s="429"/>
      <c r="K290" s="429"/>
      <c r="L290" s="383"/>
      <c r="M290" s="383" t="s">
        <v>734</v>
      </c>
      <c r="N290" s="383" t="s">
        <v>567</v>
      </c>
      <c r="O290" s="383" t="s">
        <v>735</v>
      </c>
      <c r="P290" s="383" t="s">
        <v>970</v>
      </c>
      <c r="Q290" s="383"/>
      <c r="R290" s="431">
        <v>605000</v>
      </c>
      <c r="S290" s="158">
        <v>0</v>
      </c>
      <c r="T290" s="158">
        <v>0</v>
      </c>
      <c r="U290" s="158">
        <v>0</v>
      </c>
      <c r="V290" s="158">
        <v>0</v>
      </c>
      <c r="W290" s="158">
        <v>0</v>
      </c>
      <c r="X290" s="158">
        <v>0</v>
      </c>
      <c r="Y290" s="158">
        <v>0</v>
      </c>
      <c r="Z290" s="158">
        <v>0</v>
      </c>
      <c r="AA290" s="432">
        <v>0</v>
      </c>
      <c r="AB290" s="432">
        <v>0</v>
      </c>
      <c r="AC290" s="432">
        <v>0</v>
      </c>
      <c r="AD290" s="432">
        <v>0</v>
      </c>
      <c r="AE290" s="432">
        <v>0</v>
      </c>
      <c r="AF290" s="432">
        <v>0</v>
      </c>
      <c r="AG290" s="432">
        <v>0</v>
      </c>
      <c r="AH290" s="432">
        <v>0</v>
      </c>
      <c r="AI290" s="158">
        <v>605946</v>
      </c>
      <c r="AJ290" s="158">
        <v>0</v>
      </c>
      <c r="AK290" s="158">
        <v>605946</v>
      </c>
      <c r="AL290" s="158">
        <v>605946</v>
      </c>
      <c r="AM290" s="158">
        <v>2610000</v>
      </c>
      <c r="AN290" s="158">
        <v>605946</v>
      </c>
      <c r="AO290" s="158">
        <v>605946</v>
      </c>
      <c r="AP290" s="158">
        <v>605000</v>
      </c>
      <c r="AQ290" s="432">
        <v>0</v>
      </c>
      <c r="AR290" s="432">
        <v>0</v>
      </c>
      <c r="AS290" s="432">
        <v>0</v>
      </c>
      <c r="AT290" s="432">
        <v>0</v>
      </c>
      <c r="AU290" s="432">
        <v>0</v>
      </c>
      <c r="AV290" s="432">
        <v>0</v>
      </c>
      <c r="AW290" s="432">
        <v>0</v>
      </c>
      <c r="AX290" s="432">
        <v>0</v>
      </c>
      <c r="AY290" s="158">
        <v>0</v>
      </c>
      <c r="AZ290" s="158">
        <v>0</v>
      </c>
      <c r="BA290" s="158">
        <v>0</v>
      </c>
      <c r="BB290" s="158">
        <v>0</v>
      </c>
      <c r="BC290" s="158">
        <v>0</v>
      </c>
      <c r="BD290" s="158">
        <v>0</v>
      </c>
      <c r="BE290" s="158">
        <v>0</v>
      </c>
      <c r="BF290" s="160">
        <v>0</v>
      </c>
      <c r="BG290" s="383">
        <v>2023</v>
      </c>
      <c r="BH290" s="383">
        <v>1</v>
      </c>
      <c r="BI290" s="383">
        <v>19</v>
      </c>
      <c r="BK290" s="147" t="str">
        <f>IF(R290=SUM(Z290,AH290,AP290,AX290,BF290),"○","×")</f>
        <v>○</v>
      </c>
    </row>
    <row r="291" spans="1:63" x14ac:dyDescent="0.2">
      <c r="A291" s="428">
        <v>1485</v>
      </c>
      <c r="B291" s="429"/>
      <c r="C291" s="430"/>
      <c r="D291" s="429"/>
      <c r="E291" s="430"/>
      <c r="F291" s="429"/>
      <c r="G291" s="429"/>
      <c r="H291" s="430"/>
      <c r="I291" s="429"/>
      <c r="J291" s="429"/>
      <c r="K291" s="429"/>
      <c r="L291" s="383"/>
      <c r="M291" s="383" t="s">
        <v>736</v>
      </c>
      <c r="N291" s="383" t="s">
        <v>332</v>
      </c>
      <c r="O291" s="383" t="s">
        <v>737</v>
      </c>
      <c r="P291" s="383" t="s">
        <v>970</v>
      </c>
      <c r="Q291" s="383"/>
      <c r="R291" s="431">
        <v>198000</v>
      </c>
      <c r="S291" s="158">
        <v>0</v>
      </c>
      <c r="T291" s="158">
        <v>0</v>
      </c>
      <c r="U291" s="158">
        <v>0</v>
      </c>
      <c r="V291" s="158">
        <v>0</v>
      </c>
      <c r="W291" s="158">
        <v>0</v>
      </c>
      <c r="X291" s="158">
        <v>0</v>
      </c>
      <c r="Y291" s="158">
        <v>0</v>
      </c>
      <c r="Z291" s="158">
        <v>0</v>
      </c>
      <c r="AA291" s="432">
        <v>0</v>
      </c>
      <c r="AB291" s="432">
        <v>0</v>
      </c>
      <c r="AC291" s="432">
        <v>0</v>
      </c>
      <c r="AD291" s="432">
        <v>0</v>
      </c>
      <c r="AE291" s="432">
        <v>0</v>
      </c>
      <c r="AF291" s="432">
        <v>0</v>
      </c>
      <c r="AG291" s="432">
        <v>0</v>
      </c>
      <c r="AH291" s="432">
        <v>0</v>
      </c>
      <c r="AI291" s="158">
        <v>198868</v>
      </c>
      <c r="AJ291" s="158">
        <v>0</v>
      </c>
      <c r="AK291" s="158">
        <v>198868</v>
      </c>
      <c r="AL291" s="158">
        <v>198868</v>
      </c>
      <c r="AM291" s="158">
        <v>2556000</v>
      </c>
      <c r="AN291" s="158">
        <v>198868</v>
      </c>
      <c r="AO291" s="158">
        <v>198868</v>
      </c>
      <c r="AP291" s="158">
        <v>198000</v>
      </c>
      <c r="AQ291" s="432">
        <v>0</v>
      </c>
      <c r="AR291" s="432">
        <v>0</v>
      </c>
      <c r="AS291" s="432">
        <v>0</v>
      </c>
      <c r="AT291" s="432">
        <v>0</v>
      </c>
      <c r="AU291" s="432">
        <v>0</v>
      </c>
      <c r="AV291" s="432">
        <v>0</v>
      </c>
      <c r="AW291" s="432">
        <v>0</v>
      </c>
      <c r="AX291" s="432">
        <v>0</v>
      </c>
      <c r="AY291" s="158">
        <v>0</v>
      </c>
      <c r="AZ291" s="158">
        <v>0</v>
      </c>
      <c r="BA291" s="158">
        <v>0</v>
      </c>
      <c r="BB291" s="158">
        <v>0</v>
      </c>
      <c r="BC291" s="158">
        <v>0</v>
      </c>
      <c r="BD291" s="158">
        <v>0</v>
      </c>
      <c r="BE291" s="158">
        <v>0</v>
      </c>
      <c r="BF291" s="160">
        <v>0</v>
      </c>
      <c r="BG291" s="383">
        <v>2023</v>
      </c>
      <c r="BH291" s="383">
        <v>1</v>
      </c>
      <c r="BI291" s="383">
        <v>19</v>
      </c>
      <c r="BK291" s="147" t="str">
        <f>IF(R291=SUM(Z291,AH291,AP291,AX291,BF291),"○","×")</f>
        <v>○</v>
      </c>
    </row>
    <row r="292" spans="1:63" x14ac:dyDescent="0.2">
      <c r="A292" s="428">
        <v>1486</v>
      </c>
      <c r="B292" s="429"/>
      <c r="C292" s="430"/>
      <c r="D292" s="429"/>
      <c r="E292" s="430"/>
      <c r="F292" s="429"/>
      <c r="G292" s="429"/>
      <c r="H292" s="430"/>
      <c r="I292" s="429"/>
      <c r="J292" s="429"/>
      <c r="K292" s="429"/>
      <c r="L292" s="383"/>
      <c r="M292" s="383" t="s">
        <v>480</v>
      </c>
      <c r="N292" s="383" t="s">
        <v>367</v>
      </c>
      <c r="O292" s="383" t="s">
        <v>481</v>
      </c>
      <c r="P292" s="383" t="s">
        <v>970</v>
      </c>
      <c r="Q292" s="383"/>
      <c r="R292" s="431">
        <v>138000</v>
      </c>
      <c r="S292" s="158">
        <v>0</v>
      </c>
      <c r="T292" s="158">
        <v>0</v>
      </c>
      <c r="U292" s="158">
        <v>0</v>
      </c>
      <c r="V292" s="158">
        <v>0</v>
      </c>
      <c r="W292" s="158">
        <v>0</v>
      </c>
      <c r="X292" s="158">
        <v>0</v>
      </c>
      <c r="Y292" s="158">
        <v>0</v>
      </c>
      <c r="Z292" s="158">
        <v>0</v>
      </c>
      <c r="AA292" s="432">
        <v>0</v>
      </c>
      <c r="AB292" s="432">
        <v>0</v>
      </c>
      <c r="AC292" s="432">
        <v>0</v>
      </c>
      <c r="AD292" s="432">
        <v>0</v>
      </c>
      <c r="AE292" s="432">
        <v>0</v>
      </c>
      <c r="AF292" s="432">
        <v>0</v>
      </c>
      <c r="AG292" s="432">
        <v>0</v>
      </c>
      <c r="AH292" s="432">
        <v>0</v>
      </c>
      <c r="AI292" s="158">
        <v>138160</v>
      </c>
      <c r="AJ292" s="158">
        <v>0</v>
      </c>
      <c r="AK292" s="158">
        <v>138160</v>
      </c>
      <c r="AL292" s="158">
        <v>138160</v>
      </c>
      <c r="AM292" s="158">
        <v>1728000</v>
      </c>
      <c r="AN292" s="158">
        <v>138160</v>
      </c>
      <c r="AO292" s="158">
        <v>138160</v>
      </c>
      <c r="AP292" s="158">
        <v>138000</v>
      </c>
      <c r="AQ292" s="432">
        <v>0</v>
      </c>
      <c r="AR292" s="432">
        <v>0</v>
      </c>
      <c r="AS292" s="432">
        <v>0</v>
      </c>
      <c r="AT292" s="432">
        <v>0</v>
      </c>
      <c r="AU292" s="432">
        <v>0</v>
      </c>
      <c r="AV292" s="432">
        <v>0</v>
      </c>
      <c r="AW292" s="432">
        <v>0</v>
      </c>
      <c r="AX292" s="432">
        <v>0</v>
      </c>
      <c r="AY292" s="158">
        <v>0</v>
      </c>
      <c r="AZ292" s="158">
        <v>0</v>
      </c>
      <c r="BA292" s="158">
        <v>0</v>
      </c>
      <c r="BB292" s="158">
        <v>0</v>
      </c>
      <c r="BC292" s="158">
        <v>0</v>
      </c>
      <c r="BD292" s="158">
        <v>0</v>
      </c>
      <c r="BE292" s="158">
        <v>0</v>
      </c>
      <c r="BF292" s="160">
        <v>0</v>
      </c>
      <c r="BG292" s="383">
        <v>2023</v>
      </c>
      <c r="BH292" s="383">
        <v>1</v>
      </c>
      <c r="BI292" s="383">
        <v>19</v>
      </c>
      <c r="BK292" s="147" t="str">
        <f>IF(R292=SUM(Z292,AH292,AP292,AX292,BF292),"○","×")</f>
        <v>○</v>
      </c>
    </row>
    <row r="293" spans="1:63" x14ac:dyDescent="0.2">
      <c r="A293" s="428">
        <v>1487</v>
      </c>
      <c r="B293" s="429"/>
      <c r="C293" s="430"/>
      <c r="D293" s="429"/>
      <c r="E293" s="430"/>
      <c r="F293" s="429"/>
      <c r="G293" s="429"/>
      <c r="H293" s="430"/>
      <c r="I293" s="429"/>
      <c r="J293" s="429"/>
      <c r="K293" s="429"/>
      <c r="L293" s="383"/>
      <c r="M293" s="383" t="s">
        <v>467</v>
      </c>
      <c r="N293" s="383" t="s">
        <v>427</v>
      </c>
      <c r="O293" s="383" t="s">
        <v>468</v>
      </c>
      <c r="P293" s="383" t="s">
        <v>970</v>
      </c>
      <c r="Q293" s="146"/>
      <c r="R293" s="431">
        <v>570000</v>
      </c>
      <c r="S293" s="158">
        <v>0</v>
      </c>
      <c r="T293" s="158">
        <v>0</v>
      </c>
      <c r="U293" s="158">
        <v>0</v>
      </c>
      <c r="V293" s="158">
        <v>0</v>
      </c>
      <c r="W293" s="158">
        <v>0</v>
      </c>
      <c r="X293" s="158">
        <v>0</v>
      </c>
      <c r="Y293" s="158">
        <v>0</v>
      </c>
      <c r="Z293" s="158">
        <v>0</v>
      </c>
      <c r="AA293" s="432">
        <v>0</v>
      </c>
      <c r="AB293" s="432">
        <v>0</v>
      </c>
      <c r="AC293" s="432">
        <v>0</v>
      </c>
      <c r="AD293" s="432">
        <v>0</v>
      </c>
      <c r="AE293" s="432">
        <v>0</v>
      </c>
      <c r="AF293" s="432">
        <v>0</v>
      </c>
      <c r="AG293" s="432">
        <v>0</v>
      </c>
      <c r="AH293" s="432">
        <v>0</v>
      </c>
      <c r="AI293" s="158">
        <v>570920</v>
      </c>
      <c r="AJ293" s="158">
        <v>0</v>
      </c>
      <c r="AK293" s="158">
        <v>570920</v>
      </c>
      <c r="AL293" s="158">
        <v>570920</v>
      </c>
      <c r="AM293" s="158">
        <v>5256000</v>
      </c>
      <c r="AN293" s="158">
        <v>570920</v>
      </c>
      <c r="AO293" s="158">
        <v>570920</v>
      </c>
      <c r="AP293" s="158">
        <v>570000</v>
      </c>
      <c r="AQ293" s="432">
        <v>0</v>
      </c>
      <c r="AR293" s="432">
        <v>0</v>
      </c>
      <c r="AS293" s="432">
        <v>0</v>
      </c>
      <c r="AT293" s="432">
        <v>0</v>
      </c>
      <c r="AU293" s="432">
        <v>0</v>
      </c>
      <c r="AV293" s="432">
        <v>0</v>
      </c>
      <c r="AW293" s="432">
        <v>0</v>
      </c>
      <c r="AX293" s="432">
        <v>0</v>
      </c>
      <c r="AY293" s="158">
        <v>0</v>
      </c>
      <c r="AZ293" s="158">
        <v>0</v>
      </c>
      <c r="BA293" s="158">
        <v>0</v>
      </c>
      <c r="BB293" s="158">
        <v>0</v>
      </c>
      <c r="BC293" s="158">
        <v>0</v>
      </c>
      <c r="BD293" s="158">
        <v>0</v>
      </c>
      <c r="BE293" s="158">
        <v>0</v>
      </c>
      <c r="BF293" s="160">
        <v>0</v>
      </c>
      <c r="BG293" s="383">
        <v>2023</v>
      </c>
      <c r="BH293" s="383">
        <v>1</v>
      </c>
      <c r="BI293" s="383">
        <v>19</v>
      </c>
      <c r="BK293" s="147" t="str">
        <f>IF(R293=SUM(Z293,AH293,AP293,AX293,BF293),"○","×")</f>
        <v>○</v>
      </c>
    </row>
    <row r="294" spans="1:63" x14ac:dyDescent="0.2">
      <c r="A294" s="428">
        <v>1488</v>
      </c>
      <c r="B294" s="429"/>
      <c r="C294" s="430"/>
      <c r="D294" s="429"/>
      <c r="E294" s="430"/>
      <c r="F294" s="429"/>
      <c r="G294" s="429"/>
      <c r="H294" s="430"/>
      <c r="I294" s="429"/>
      <c r="J294" s="429"/>
      <c r="K294" s="429"/>
      <c r="L294" s="383"/>
      <c r="M294" s="383" t="s">
        <v>738</v>
      </c>
      <c r="N294" s="383" t="s">
        <v>567</v>
      </c>
      <c r="O294" s="383" t="s">
        <v>380</v>
      </c>
      <c r="P294" s="383" t="s">
        <v>970</v>
      </c>
      <c r="Q294" s="146"/>
      <c r="R294" s="431">
        <v>140000</v>
      </c>
      <c r="S294" s="158">
        <v>0</v>
      </c>
      <c r="T294" s="158">
        <v>0</v>
      </c>
      <c r="U294" s="158">
        <v>0</v>
      </c>
      <c r="V294" s="158">
        <v>0</v>
      </c>
      <c r="W294" s="158">
        <v>0</v>
      </c>
      <c r="X294" s="158">
        <v>0</v>
      </c>
      <c r="Y294" s="158">
        <v>0</v>
      </c>
      <c r="Z294" s="158">
        <v>0</v>
      </c>
      <c r="AA294" s="432">
        <v>0</v>
      </c>
      <c r="AB294" s="432">
        <v>0</v>
      </c>
      <c r="AC294" s="432">
        <v>0</v>
      </c>
      <c r="AD294" s="432">
        <v>0</v>
      </c>
      <c r="AE294" s="432">
        <v>0</v>
      </c>
      <c r="AF294" s="432">
        <v>0</v>
      </c>
      <c r="AG294" s="432">
        <v>0</v>
      </c>
      <c r="AH294" s="432">
        <v>0</v>
      </c>
      <c r="AI294" s="158">
        <v>140800</v>
      </c>
      <c r="AJ294" s="158">
        <v>0</v>
      </c>
      <c r="AK294" s="158">
        <v>140800</v>
      </c>
      <c r="AL294" s="158">
        <v>140800</v>
      </c>
      <c r="AM294" s="158">
        <v>5400000</v>
      </c>
      <c r="AN294" s="158">
        <v>140800</v>
      </c>
      <c r="AO294" s="158">
        <v>140800</v>
      </c>
      <c r="AP294" s="158">
        <v>140000</v>
      </c>
      <c r="AQ294" s="432">
        <v>0</v>
      </c>
      <c r="AR294" s="432">
        <v>0</v>
      </c>
      <c r="AS294" s="432">
        <v>0</v>
      </c>
      <c r="AT294" s="432">
        <v>0</v>
      </c>
      <c r="AU294" s="432">
        <v>0</v>
      </c>
      <c r="AV294" s="432">
        <v>0</v>
      </c>
      <c r="AW294" s="432">
        <v>0</v>
      </c>
      <c r="AX294" s="432">
        <v>0</v>
      </c>
      <c r="AY294" s="158">
        <v>0</v>
      </c>
      <c r="AZ294" s="158">
        <v>0</v>
      </c>
      <c r="BA294" s="158">
        <v>0</v>
      </c>
      <c r="BB294" s="158">
        <v>0</v>
      </c>
      <c r="BC294" s="158">
        <v>0</v>
      </c>
      <c r="BD294" s="158">
        <v>0</v>
      </c>
      <c r="BE294" s="158">
        <v>0</v>
      </c>
      <c r="BF294" s="160">
        <v>0</v>
      </c>
      <c r="BG294" s="383">
        <v>2023</v>
      </c>
      <c r="BH294" s="383">
        <v>1</v>
      </c>
      <c r="BI294" s="383">
        <v>19</v>
      </c>
      <c r="BK294" s="147" t="str">
        <f>IF(R294=SUM(Z294,AH294,AP294,AX294,BF294),"○","×")</f>
        <v>○</v>
      </c>
    </row>
    <row r="295" spans="1:63" x14ac:dyDescent="0.2">
      <c r="A295" s="428">
        <v>1489</v>
      </c>
      <c r="B295" s="429"/>
      <c r="C295" s="430"/>
      <c r="D295" s="429"/>
      <c r="E295" s="430"/>
      <c r="F295" s="429"/>
      <c r="G295" s="429"/>
      <c r="H295" s="430"/>
      <c r="I295" s="429"/>
      <c r="J295" s="429"/>
      <c r="K295" s="429"/>
      <c r="L295" s="383"/>
      <c r="M295" s="383" t="s">
        <v>739</v>
      </c>
      <c r="N295" s="383" t="s">
        <v>323</v>
      </c>
      <c r="O295" s="383" t="s">
        <v>619</v>
      </c>
      <c r="P295" s="383" t="s">
        <v>970</v>
      </c>
      <c r="Q295" s="383"/>
      <c r="R295" s="431">
        <v>114000</v>
      </c>
      <c r="S295" s="158">
        <v>0</v>
      </c>
      <c r="T295" s="158">
        <v>0</v>
      </c>
      <c r="U295" s="158">
        <v>0</v>
      </c>
      <c r="V295" s="158">
        <v>0</v>
      </c>
      <c r="W295" s="158">
        <v>0</v>
      </c>
      <c r="X295" s="158">
        <v>0</v>
      </c>
      <c r="Y295" s="158">
        <v>0</v>
      </c>
      <c r="Z295" s="158">
        <v>0</v>
      </c>
      <c r="AA295" s="432">
        <v>0</v>
      </c>
      <c r="AB295" s="432">
        <v>0</v>
      </c>
      <c r="AC295" s="432">
        <v>0</v>
      </c>
      <c r="AD295" s="432">
        <v>0</v>
      </c>
      <c r="AE295" s="432">
        <v>0</v>
      </c>
      <c r="AF295" s="432">
        <v>0</v>
      </c>
      <c r="AG295" s="432">
        <v>0</v>
      </c>
      <c r="AH295" s="432">
        <v>0</v>
      </c>
      <c r="AI295" s="158">
        <v>114400</v>
      </c>
      <c r="AJ295" s="158">
        <v>0</v>
      </c>
      <c r="AK295" s="158">
        <v>114400</v>
      </c>
      <c r="AL295" s="158">
        <v>114400</v>
      </c>
      <c r="AM295" s="158">
        <v>6300000</v>
      </c>
      <c r="AN295" s="158">
        <v>114400</v>
      </c>
      <c r="AO295" s="158">
        <v>114400</v>
      </c>
      <c r="AP295" s="158">
        <v>114000</v>
      </c>
      <c r="AQ295" s="432">
        <v>0</v>
      </c>
      <c r="AR295" s="432">
        <v>0</v>
      </c>
      <c r="AS295" s="432">
        <v>0</v>
      </c>
      <c r="AT295" s="432">
        <v>0</v>
      </c>
      <c r="AU295" s="432">
        <v>0</v>
      </c>
      <c r="AV295" s="432">
        <v>0</v>
      </c>
      <c r="AW295" s="432">
        <v>0</v>
      </c>
      <c r="AX295" s="432">
        <v>0</v>
      </c>
      <c r="AY295" s="158">
        <v>0</v>
      </c>
      <c r="AZ295" s="158">
        <v>0</v>
      </c>
      <c r="BA295" s="158">
        <v>0</v>
      </c>
      <c r="BB295" s="158">
        <v>0</v>
      </c>
      <c r="BC295" s="158">
        <v>0</v>
      </c>
      <c r="BD295" s="158">
        <v>0</v>
      </c>
      <c r="BE295" s="158">
        <v>0</v>
      </c>
      <c r="BF295" s="160">
        <v>0</v>
      </c>
      <c r="BG295" s="383">
        <v>2023</v>
      </c>
      <c r="BH295" s="383">
        <v>1</v>
      </c>
      <c r="BI295" s="383">
        <v>19</v>
      </c>
      <c r="BK295" s="147" t="str">
        <f>IF(R295=SUM(Z295,AH295,AP295,AX295,BF295),"○","×")</f>
        <v>○</v>
      </c>
    </row>
    <row r="296" spans="1:63" x14ac:dyDescent="0.2">
      <c r="A296" s="428">
        <v>1490</v>
      </c>
      <c r="B296" s="429"/>
      <c r="C296" s="430"/>
      <c r="D296" s="429"/>
      <c r="E296" s="430"/>
      <c r="F296" s="429"/>
      <c r="G296" s="429"/>
      <c r="H296" s="430"/>
      <c r="I296" s="429"/>
      <c r="J296" s="429"/>
      <c r="K296" s="429"/>
      <c r="L296" s="383"/>
      <c r="M296" s="383" t="s">
        <v>740</v>
      </c>
      <c r="N296" s="383" t="s">
        <v>384</v>
      </c>
      <c r="O296" s="383" t="s">
        <v>701</v>
      </c>
      <c r="P296" s="383" t="s">
        <v>970</v>
      </c>
      <c r="Q296" s="383"/>
      <c r="R296" s="431">
        <v>168000</v>
      </c>
      <c r="S296" s="158">
        <v>0</v>
      </c>
      <c r="T296" s="158">
        <v>0</v>
      </c>
      <c r="U296" s="158">
        <v>0</v>
      </c>
      <c r="V296" s="158">
        <v>0</v>
      </c>
      <c r="W296" s="158">
        <v>0</v>
      </c>
      <c r="X296" s="158">
        <v>0</v>
      </c>
      <c r="Y296" s="158">
        <v>0</v>
      </c>
      <c r="Z296" s="158">
        <v>0</v>
      </c>
      <c r="AA296" s="432">
        <v>0</v>
      </c>
      <c r="AB296" s="432">
        <v>0</v>
      </c>
      <c r="AC296" s="432">
        <v>0</v>
      </c>
      <c r="AD296" s="432">
        <v>0</v>
      </c>
      <c r="AE296" s="432">
        <v>0</v>
      </c>
      <c r="AF296" s="432">
        <v>0</v>
      </c>
      <c r="AG296" s="432">
        <v>0</v>
      </c>
      <c r="AH296" s="432">
        <v>0</v>
      </c>
      <c r="AI296" s="158">
        <v>168555</v>
      </c>
      <c r="AJ296" s="158">
        <v>0</v>
      </c>
      <c r="AK296" s="158">
        <v>168555</v>
      </c>
      <c r="AL296" s="158">
        <v>168555</v>
      </c>
      <c r="AM296" s="158">
        <v>3528000</v>
      </c>
      <c r="AN296" s="158">
        <v>168555</v>
      </c>
      <c r="AO296" s="158">
        <v>168555</v>
      </c>
      <c r="AP296" s="158">
        <v>168000</v>
      </c>
      <c r="AQ296" s="432">
        <v>0</v>
      </c>
      <c r="AR296" s="432">
        <v>0</v>
      </c>
      <c r="AS296" s="432">
        <v>0</v>
      </c>
      <c r="AT296" s="432">
        <v>0</v>
      </c>
      <c r="AU296" s="432">
        <v>0</v>
      </c>
      <c r="AV296" s="432">
        <v>0</v>
      </c>
      <c r="AW296" s="432">
        <v>0</v>
      </c>
      <c r="AX296" s="432">
        <v>0</v>
      </c>
      <c r="AY296" s="158">
        <v>0</v>
      </c>
      <c r="AZ296" s="158">
        <v>0</v>
      </c>
      <c r="BA296" s="158">
        <v>0</v>
      </c>
      <c r="BB296" s="158">
        <v>0</v>
      </c>
      <c r="BC296" s="158">
        <v>0</v>
      </c>
      <c r="BD296" s="158">
        <v>0</v>
      </c>
      <c r="BE296" s="158">
        <v>0</v>
      </c>
      <c r="BF296" s="160">
        <v>0</v>
      </c>
      <c r="BG296" s="383">
        <v>2023</v>
      </c>
      <c r="BH296" s="383">
        <v>1</v>
      </c>
      <c r="BI296" s="383">
        <v>19</v>
      </c>
      <c r="BK296" s="147" t="str">
        <f>IF(R296=SUM(Z296,AH296,AP296,AX296,BF296),"○","×")</f>
        <v>○</v>
      </c>
    </row>
    <row r="297" spans="1:63" x14ac:dyDescent="0.2">
      <c r="A297" s="428">
        <v>1491</v>
      </c>
      <c r="B297" s="429"/>
      <c r="C297" s="430"/>
      <c r="D297" s="429"/>
      <c r="E297" s="430"/>
      <c r="F297" s="429"/>
      <c r="G297" s="429"/>
      <c r="H297" s="430"/>
      <c r="I297" s="429"/>
      <c r="J297" s="429"/>
      <c r="K297" s="429"/>
      <c r="L297" s="383"/>
      <c r="M297" s="383" t="s">
        <v>596</v>
      </c>
      <c r="N297" s="383" t="s">
        <v>323</v>
      </c>
      <c r="O297" s="383" t="s">
        <v>418</v>
      </c>
      <c r="P297" s="383" t="s">
        <v>970</v>
      </c>
      <c r="Q297" s="383"/>
      <c r="R297" s="431">
        <v>148000</v>
      </c>
      <c r="S297" s="158">
        <v>0</v>
      </c>
      <c r="T297" s="158">
        <v>0</v>
      </c>
      <c r="U297" s="158">
        <v>0</v>
      </c>
      <c r="V297" s="158">
        <v>0</v>
      </c>
      <c r="W297" s="158">
        <v>0</v>
      </c>
      <c r="X297" s="158">
        <v>0</v>
      </c>
      <c r="Y297" s="158">
        <v>0</v>
      </c>
      <c r="Z297" s="158">
        <v>0</v>
      </c>
      <c r="AA297" s="432">
        <v>0</v>
      </c>
      <c r="AB297" s="432">
        <v>0</v>
      </c>
      <c r="AC297" s="432">
        <v>0</v>
      </c>
      <c r="AD297" s="432">
        <v>0</v>
      </c>
      <c r="AE297" s="432">
        <v>0</v>
      </c>
      <c r="AF297" s="432">
        <v>0</v>
      </c>
      <c r="AG297" s="432">
        <v>0</v>
      </c>
      <c r="AH297" s="432">
        <v>0</v>
      </c>
      <c r="AI297" s="158">
        <v>148610</v>
      </c>
      <c r="AJ297" s="158">
        <v>0</v>
      </c>
      <c r="AK297" s="158">
        <v>148610</v>
      </c>
      <c r="AL297" s="158">
        <v>148610</v>
      </c>
      <c r="AM297" s="158">
        <v>4320000</v>
      </c>
      <c r="AN297" s="158">
        <v>148610</v>
      </c>
      <c r="AO297" s="158">
        <v>148610</v>
      </c>
      <c r="AP297" s="158">
        <v>148000</v>
      </c>
      <c r="AQ297" s="432">
        <v>0</v>
      </c>
      <c r="AR297" s="432">
        <v>0</v>
      </c>
      <c r="AS297" s="432">
        <v>0</v>
      </c>
      <c r="AT297" s="432">
        <v>0</v>
      </c>
      <c r="AU297" s="432">
        <v>0</v>
      </c>
      <c r="AV297" s="432">
        <v>0</v>
      </c>
      <c r="AW297" s="432">
        <v>0</v>
      </c>
      <c r="AX297" s="432">
        <v>0</v>
      </c>
      <c r="AY297" s="158">
        <v>0</v>
      </c>
      <c r="AZ297" s="158">
        <v>0</v>
      </c>
      <c r="BA297" s="158">
        <v>0</v>
      </c>
      <c r="BB297" s="158">
        <v>0</v>
      </c>
      <c r="BC297" s="158">
        <v>0</v>
      </c>
      <c r="BD297" s="158">
        <v>0</v>
      </c>
      <c r="BE297" s="158">
        <v>0</v>
      </c>
      <c r="BF297" s="160">
        <v>0</v>
      </c>
      <c r="BG297" s="383">
        <v>2023</v>
      </c>
      <c r="BH297" s="383">
        <v>1</v>
      </c>
      <c r="BI297" s="383">
        <v>19</v>
      </c>
      <c r="BK297" s="147" t="str">
        <f>IF(R297=SUM(Z297,AH297,AP297,AX297,BF297),"○","×")</f>
        <v>○</v>
      </c>
    </row>
    <row r="298" spans="1:63" x14ac:dyDescent="0.2">
      <c r="A298" s="428">
        <v>1492</v>
      </c>
      <c r="B298" s="429"/>
      <c r="C298" s="430"/>
      <c r="D298" s="429"/>
      <c r="E298" s="430"/>
      <c r="F298" s="429"/>
      <c r="G298" s="429"/>
      <c r="H298" s="430"/>
      <c r="I298" s="429"/>
      <c r="J298" s="429"/>
      <c r="K298" s="429"/>
      <c r="L298" s="383"/>
      <c r="M298" s="383" t="s">
        <v>596</v>
      </c>
      <c r="N298" s="383" t="s">
        <v>323</v>
      </c>
      <c r="O298" s="383" t="s">
        <v>418</v>
      </c>
      <c r="P298" s="383" t="s">
        <v>970</v>
      </c>
      <c r="Q298" s="383"/>
      <c r="R298" s="431">
        <v>2638000</v>
      </c>
      <c r="S298" s="158">
        <v>0</v>
      </c>
      <c r="T298" s="158">
        <v>0</v>
      </c>
      <c r="U298" s="158">
        <v>0</v>
      </c>
      <c r="V298" s="158">
        <v>0</v>
      </c>
      <c r="W298" s="158">
        <v>0</v>
      </c>
      <c r="X298" s="158">
        <v>0</v>
      </c>
      <c r="Y298" s="158">
        <v>0</v>
      </c>
      <c r="Z298" s="158">
        <v>0</v>
      </c>
      <c r="AA298" s="432">
        <v>0</v>
      </c>
      <c r="AB298" s="432">
        <v>0</v>
      </c>
      <c r="AC298" s="432">
        <v>0</v>
      </c>
      <c r="AD298" s="432">
        <v>0</v>
      </c>
      <c r="AE298" s="432">
        <v>0</v>
      </c>
      <c r="AF298" s="432">
        <v>0</v>
      </c>
      <c r="AG298" s="432">
        <v>0</v>
      </c>
      <c r="AH298" s="432">
        <v>0</v>
      </c>
      <c r="AI298" s="158">
        <v>2638680</v>
      </c>
      <c r="AJ298" s="158">
        <v>0</v>
      </c>
      <c r="AK298" s="158">
        <v>2638680</v>
      </c>
      <c r="AL298" s="158">
        <v>2638680</v>
      </c>
      <c r="AM298" s="158">
        <v>3110400</v>
      </c>
      <c r="AN298" s="158">
        <v>2638680</v>
      </c>
      <c r="AO298" s="158">
        <v>2638680</v>
      </c>
      <c r="AP298" s="158">
        <v>2638000</v>
      </c>
      <c r="AQ298" s="432">
        <v>0</v>
      </c>
      <c r="AR298" s="432">
        <v>0</v>
      </c>
      <c r="AS298" s="432">
        <v>0</v>
      </c>
      <c r="AT298" s="432">
        <v>0</v>
      </c>
      <c r="AU298" s="432">
        <v>0</v>
      </c>
      <c r="AV298" s="432">
        <v>0</v>
      </c>
      <c r="AW298" s="432">
        <v>0</v>
      </c>
      <c r="AX298" s="432">
        <v>0</v>
      </c>
      <c r="AY298" s="158">
        <v>0</v>
      </c>
      <c r="AZ298" s="158">
        <v>0</v>
      </c>
      <c r="BA298" s="158">
        <v>0</v>
      </c>
      <c r="BB298" s="158">
        <v>0</v>
      </c>
      <c r="BC298" s="158">
        <v>0</v>
      </c>
      <c r="BD298" s="158">
        <v>0</v>
      </c>
      <c r="BE298" s="158">
        <v>0</v>
      </c>
      <c r="BF298" s="160">
        <v>0</v>
      </c>
      <c r="BG298" s="383">
        <v>2023</v>
      </c>
      <c r="BH298" s="383">
        <v>1</v>
      </c>
      <c r="BI298" s="383">
        <v>19</v>
      </c>
      <c r="BK298" s="147" t="str">
        <f>IF(R298=SUM(Z298,AH298,AP298,AX298,BF298),"○","×")</f>
        <v>○</v>
      </c>
    </row>
    <row r="299" spans="1:63" x14ac:dyDescent="0.2">
      <c r="A299" s="428">
        <v>1493</v>
      </c>
      <c r="B299" s="429"/>
      <c r="C299" s="430"/>
      <c r="D299" s="429"/>
      <c r="E299" s="430"/>
      <c r="F299" s="429"/>
      <c r="G299" s="429"/>
      <c r="H299" s="430"/>
      <c r="I299" s="429"/>
      <c r="J299" s="429"/>
      <c r="K299" s="429"/>
      <c r="L299" s="383"/>
      <c r="M299" s="383" t="s">
        <v>633</v>
      </c>
      <c r="N299" s="383" t="s">
        <v>323</v>
      </c>
      <c r="O299" s="383" t="s">
        <v>634</v>
      </c>
      <c r="P299" s="383" t="s">
        <v>970</v>
      </c>
      <c r="Q299" s="383"/>
      <c r="R299" s="431">
        <v>188000</v>
      </c>
      <c r="S299" s="158">
        <v>0</v>
      </c>
      <c r="T299" s="158">
        <v>0</v>
      </c>
      <c r="U299" s="158">
        <v>0</v>
      </c>
      <c r="V299" s="158">
        <v>0</v>
      </c>
      <c r="W299" s="158">
        <v>0</v>
      </c>
      <c r="X299" s="158">
        <v>0</v>
      </c>
      <c r="Y299" s="158">
        <v>0</v>
      </c>
      <c r="Z299" s="158">
        <v>0</v>
      </c>
      <c r="AA299" s="432">
        <v>0</v>
      </c>
      <c r="AB299" s="432">
        <v>0</v>
      </c>
      <c r="AC299" s="432">
        <v>0</v>
      </c>
      <c r="AD299" s="432">
        <v>0</v>
      </c>
      <c r="AE299" s="432">
        <v>0</v>
      </c>
      <c r="AF299" s="432">
        <v>0</v>
      </c>
      <c r="AG299" s="432">
        <v>0</v>
      </c>
      <c r="AH299" s="432">
        <v>0</v>
      </c>
      <c r="AI299" s="158">
        <v>188980</v>
      </c>
      <c r="AJ299" s="158">
        <v>0</v>
      </c>
      <c r="AK299" s="158">
        <v>188980</v>
      </c>
      <c r="AL299" s="158">
        <v>188980</v>
      </c>
      <c r="AM299" s="158">
        <v>5702400</v>
      </c>
      <c r="AN299" s="158">
        <v>188980</v>
      </c>
      <c r="AO299" s="158">
        <v>188980</v>
      </c>
      <c r="AP299" s="158">
        <v>188000</v>
      </c>
      <c r="AQ299" s="432">
        <v>0</v>
      </c>
      <c r="AR299" s="432">
        <v>0</v>
      </c>
      <c r="AS299" s="432">
        <v>0</v>
      </c>
      <c r="AT299" s="432">
        <v>0</v>
      </c>
      <c r="AU299" s="432">
        <v>0</v>
      </c>
      <c r="AV299" s="432">
        <v>0</v>
      </c>
      <c r="AW299" s="432">
        <v>0</v>
      </c>
      <c r="AX299" s="432">
        <v>0</v>
      </c>
      <c r="AY299" s="158">
        <v>0</v>
      </c>
      <c r="AZ299" s="158">
        <v>0</v>
      </c>
      <c r="BA299" s="158">
        <v>0</v>
      </c>
      <c r="BB299" s="158">
        <v>0</v>
      </c>
      <c r="BC299" s="158">
        <v>0</v>
      </c>
      <c r="BD299" s="158">
        <v>0</v>
      </c>
      <c r="BE299" s="158">
        <v>0</v>
      </c>
      <c r="BF299" s="160">
        <v>0</v>
      </c>
      <c r="BG299" s="383">
        <v>2023</v>
      </c>
      <c r="BH299" s="383">
        <v>1</v>
      </c>
      <c r="BI299" s="383">
        <v>19</v>
      </c>
      <c r="BK299" s="147" t="str">
        <f>IF(R299=SUM(Z299,AH299,AP299,AX299,BF299),"○","×")</f>
        <v>○</v>
      </c>
    </row>
    <row r="300" spans="1:63" x14ac:dyDescent="0.2">
      <c r="A300" s="428">
        <v>1494</v>
      </c>
      <c r="B300" s="429"/>
      <c r="C300" s="430"/>
      <c r="D300" s="429"/>
      <c r="E300" s="430"/>
      <c r="F300" s="429"/>
      <c r="G300" s="429"/>
      <c r="H300" s="430"/>
      <c r="I300" s="429"/>
      <c r="J300" s="429"/>
      <c r="K300" s="429"/>
      <c r="L300" s="383"/>
      <c r="M300" s="383" t="s">
        <v>741</v>
      </c>
      <c r="N300" s="383" t="s">
        <v>332</v>
      </c>
      <c r="O300" s="383" t="s">
        <v>370</v>
      </c>
      <c r="P300" s="383" t="s">
        <v>970</v>
      </c>
      <c r="Q300" s="383"/>
      <c r="R300" s="431">
        <v>213000</v>
      </c>
      <c r="S300" s="158">
        <v>0</v>
      </c>
      <c r="T300" s="158">
        <v>0</v>
      </c>
      <c r="U300" s="158">
        <v>0</v>
      </c>
      <c r="V300" s="158">
        <v>0</v>
      </c>
      <c r="W300" s="158">
        <v>0</v>
      </c>
      <c r="X300" s="158">
        <v>0</v>
      </c>
      <c r="Y300" s="158">
        <v>0</v>
      </c>
      <c r="Z300" s="158">
        <v>0</v>
      </c>
      <c r="AA300" s="432">
        <v>0</v>
      </c>
      <c r="AB300" s="432">
        <v>0</v>
      </c>
      <c r="AC300" s="432">
        <v>0</v>
      </c>
      <c r="AD300" s="432">
        <v>0</v>
      </c>
      <c r="AE300" s="432">
        <v>0</v>
      </c>
      <c r="AF300" s="432">
        <v>0</v>
      </c>
      <c r="AG300" s="432">
        <v>0</v>
      </c>
      <c r="AH300" s="432">
        <v>0</v>
      </c>
      <c r="AI300" s="158">
        <v>213103</v>
      </c>
      <c r="AJ300" s="158">
        <v>0</v>
      </c>
      <c r="AK300" s="158">
        <v>213103</v>
      </c>
      <c r="AL300" s="158">
        <v>213103</v>
      </c>
      <c r="AM300" s="158">
        <v>1566000</v>
      </c>
      <c r="AN300" s="158">
        <v>213103</v>
      </c>
      <c r="AO300" s="158">
        <v>213103</v>
      </c>
      <c r="AP300" s="158">
        <v>213000</v>
      </c>
      <c r="AQ300" s="432">
        <v>0</v>
      </c>
      <c r="AR300" s="432">
        <v>0</v>
      </c>
      <c r="AS300" s="432">
        <v>0</v>
      </c>
      <c r="AT300" s="432">
        <v>0</v>
      </c>
      <c r="AU300" s="432">
        <v>0</v>
      </c>
      <c r="AV300" s="432">
        <v>0</v>
      </c>
      <c r="AW300" s="432">
        <v>0</v>
      </c>
      <c r="AX300" s="432">
        <v>0</v>
      </c>
      <c r="AY300" s="158">
        <v>0</v>
      </c>
      <c r="AZ300" s="158">
        <v>0</v>
      </c>
      <c r="BA300" s="158">
        <v>0</v>
      </c>
      <c r="BB300" s="158">
        <v>0</v>
      </c>
      <c r="BC300" s="158">
        <v>0</v>
      </c>
      <c r="BD300" s="158">
        <v>0</v>
      </c>
      <c r="BE300" s="158">
        <v>0</v>
      </c>
      <c r="BF300" s="160">
        <v>0</v>
      </c>
      <c r="BG300" s="383">
        <v>2023</v>
      </c>
      <c r="BH300" s="383">
        <v>1</v>
      </c>
      <c r="BI300" s="383">
        <v>19</v>
      </c>
      <c r="BK300" s="147" t="str">
        <f>IF(R300=SUM(Z300,AH300,AP300,AX300,BF300),"○","×")</f>
        <v>○</v>
      </c>
    </row>
    <row r="301" spans="1:63" x14ac:dyDescent="0.2">
      <c r="A301" s="428">
        <v>1495</v>
      </c>
      <c r="B301" s="429"/>
      <c r="C301" s="430"/>
      <c r="D301" s="429"/>
      <c r="E301" s="430"/>
      <c r="F301" s="429"/>
      <c r="G301" s="429"/>
      <c r="H301" s="430"/>
      <c r="I301" s="429"/>
      <c r="J301" s="429"/>
      <c r="K301" s="429"/>
      <c r="L301" s="383"/>
      <c r="M301" s="383" t="s">
        <v>742</v>
      </c>
      <c r="N301" s="383" t="s">
        <v>408</v>
      </c>
      <c r="O301" s="383" t="s">
        <v>743</v>
      </c>
      <c r="P301" s="383" t="s">
        <v>970</v>
      </c>
      <c r="Q301" s="383"/>
      <c r="R301" s="431">
        <v>1433000</v>
      </c>
      <c r="S301" s="158">
        <v>0</v>
      </c>
      <c r="T301" s="158">
        <v>0</v>
      </c>
      <c r="U301" s="158">
        <v>0</v>
      </c>
      <c r="V301" s="158">
        <v>0</v>
      </c>
      <c r="W301" s="158">
        <v>0</v>
      </c>
      <c r="X301" s="158">
        <v>0</v>
      </c>
      <c r="Y301" s="158">
        <v>0</v>
      </c>
      <c r="Z301" s="158">
        <v>0</v>
      </c>
      <c r="AA301" s="432">
        <v>0</v>
      </c>
      <c r="AB301" s="432">
        <v>0</v>
      </c>
      <c r="AC301" s="432">
        <v>0</v>
      </c>
      <c r="AD301" s="432">
        <v>0</v>
      </c>
      <c r="AE301" s="432">
        <v>0</v>
      </c>
      <c r="AF301" s="432">
        <v>0</v>
      </c>
      <c r="AG301" s="432">
        <v>0</v>
      </c>
      <c r="AH301" s="432">
        <v>0</v>
      </c>
      <c r="AI301" s="158">
        <v>1433975</v>
      </c>
      <c r="AJ301" s="158">
        <v>0</v>
      </c>
      <c r="AK301" s="158">
        <v>1433975</v>
      </c>
      <c r="AL301" s="158">
        <v>1433975</v>
      </c>
      <c r="AM301" s="158">
        <v>2700000</v>
      </c>
      <c r="AN301" s="158">
        <v>1433975</v>
      </c>
      <c r="AO301" s="158">
        <v>1433975</v>
      </c>
      <c r="AP301" s="158">
        <v>1433000</v>
      </c>
      <c r="AQ301" s="432">
        <v>0</v>
      </c>
      <c r="AR301" s="432">
        <v>0</v>
      </c>
      <c r="AS301" s="432">
        <v>0</v>
      </c>
      <c r="AT301" s="432">
        <v>0</v>
      </c>
      <c r="AU301" s="432">
        <v>0</v>
      </c>
      <c r="AV301" s="432">
        <v>0</v>
      </c>
      <c r="AW301" s="432">
        <v>0</v>
      </c>
      <c r="AX301" s="432">
        <v>0</v>
      </c>
      <c r="AY301" s="158">
        <v>0</v>
      </c>
      <c r="AZ301" s="158">
        <v>0</v>
      </c>
      <c r="BA301" s="158">
        <v>0</v>
      </c>
      <c r="BB301" s="158">
        <v>0</v>
      </c>
      <c r="BC301" s="158">
        <v>0</v>
      </c>
      <c r="BD301" s="158">
        <v>0</v>
      </c>
      <c r="BE301" s="158">
        <v>0</v>
      </c>
      <c r="BF301" s="160">
        <v>0</v>
      </c>
      <c r="BG301" s="383">
        <v>2023</v>
      </c>
      <c r="BH301" s="383">
        <v>1</v>
      </c>
      <c r="BI301" s="383">
        <v>19</v>
      </c>
      <c r="BK301" s="147" t="str">
        <f>IF(R301=SUM(Z301,AH301,AP301,AX301,BF301),"○","×")</f>
        <v>○</v>
      </c>
    </row>
    <row r="302" spans="1:63" x14ac:dyDescent="0.2">
      <c r="A302" s="428">
        <v>1496</v>
      </c>
      <c r="B302" s="429"/>
      <c r="C302" s="430"/>
      <c r="D302" s="429"/>
      <c r="E302" s="430"/>
      <c r="F302" s="429"/>
      <c r="G302" s="429"/>
      <c r="H302" s="430"/>
      <c r="I302" s="429"/>
      <c r="J302" s="429"/>
      <c r="K302" s="429"/>
      <c r="L302" s="383"/>
      <c r="M302" s="383" t="s">
        <v>744</v>
      </c>
      <c r="N302" s="383" t="s">
        <v>329</v>
      </c>
      <c r="O302" s="383" t="s">
        <v>745</v>
      </c>
      <c r="P302" s="383" t="s">
        <v>970</v>
      </c>
      <c r="Q302" s="146"/>
      <c r="R302" s="431">
        <v>1004000</v>
      </c>
      <c r="S302" s="158">
        <v>0</v>
      </c>
      <c r="T302" s="158">
        <v>0</v>
      </c>
      <c r="U302" s="158">
        <v>0</v>
      </c>
      <c r="V302" s="158">
        <v>0</v>
      </c>
      <c r="W302" s="158">
        <v>0</v>
      </c>
      <c r="X302" s="158">
        <v>0</v>
      </c>
      <c r="Y302" s="158">
        <v>0</v>
      </c>
      <c r="Z302" s="158">
        <v>0</v>
      </c>
      <c r="AA302" s="432">
        <v>0</v>
      </c>
      <c r="AB302" s="432">
        <v>0</v>
      </c>
      <c r="AC302" s="432">
        <v>0</v>
      </c>
      <c r="AD302" s="432">
        <v>0</v>
      </c>
      <c r="AE302" s="432">
        <v>0</v>
      </c>
      <c r="AF302" s="432">
        <v>0</v>
      </c>
      <c r="AG302" s="432">
        <v>0</v>
      </c>
      <c r="AH302" s="432">
        <v>0</v>
      </c>
      <c r="AI302" s="158">
        <v>1004090</v>
      </c>
      <c r="AJ302" s="158">
        <v>0</v>
      </c>
      <c r="AK302" s="158">
        <v>1004090</v>
      </c>
      <c r="AL302" s="158">
        <v>1004090</v>
      </c>
      <c r="AM302" s="158">
        <v>2628000</v>
      </c>
      <c r="AN302" s="158">
        <v>1004090</v>
      </c>
      <c r="AO302" s="158">
        <v>1004090</v>
      </c>
      <c r="AP302" s="158">
        <v>1004000</v>
      </c>
      <c r="AQ302" s="432">
        <v>0</v>
      </c>
      <c r="AR302" s="432">
        <v>0</v>
      </c>
      <c r="AS302" s="432">
        <v>0</v>
      </c>
      <c r="AT302" s="432">
        <v>0</v>
      </c>
      <c r="AU302" s="432">
        <v>0</v>
      </c>
      <c r="AV302" s="432">
        <v>0</v>
      </c>
      <c r="AW302" s="432">
        <v>0</v>
      </c>
      <c r="AX302" s="432">
        <v>0</v>
      </c>
      <c r="AY302" s="158">
        <v>0</v>
      </c>
      <c r="AZ302" s="158">
        <v>0</v>
      </c>
      <c r="BA302" s="158">
        <v>0</v>
      </c>
      <c r="BB302" s="158">
        <v>0</v>
      </c>
      <c r="BC302" s="158">
        <v>0</v>
      </c>
      <c r="BD302" s="158">
        <v>0</v>
      </c>
      <c r="BE302" s="158">
        <v>0</v>
      </c>
      <c r="BF302" s="160">
        <v>0</v>
      </c>
      <c r="BG302" s="383">
        <v>2023</v>
      </c>
      <c r="BH302" s="383">
        <v>1</v>
      </c>
      <c r="BI302" s="383">
        <v>19</v>
      </c>
      <c r="BK302" s="147" t="str">
        <f>IF(R302=SUM(Z302,AH302,AP302,AX302,BF302),"○","×")</f>
        <v>○</v>
      </c>
    </row>
    <row r="303" spans="1:63" x14ac:dyDescent="0.2">
      <c r="A303" s="428">
        <v>1498</v>
      </c>
      <c r="B303" s="429"/>
      <c r="C303" s="430"/>
      <c r="D303" s="429"/>
      <c r="E303" s="430"/>
      <c r="F303" s="429"/>
      <c r="G303" s="429"/>
      <c r="H303" s="430"/>
      <c r="I303" s="429"/>
      <c r="J303" s="429"/>
      <c r="K303" s="429"/>
      <c r="L303" s="383"/>
      <c r="M303" s="383" t="s">
        <v>746</v>
      </c>
      <c r="N303" s="383" t="s">
        <v>360</v>
      </c>
      <c r="O303" s="383" t="s">
        <v>634</v>
      </c>
      <c r="P303" s="383" t="s">
        <v>970</v>
      </c>
      <c r="Q303" s="383"/>
      <c r="R303" s="431">
        <v>121000</v>
      </c>
      <c r="S303" s="158">
        <v>0</v>
      </c>
      <c r="T303" s="158">
        <v>0</v>
      </c>
      <c r="U303" s="158">
        <v>0</v>
      </c>
      <c r="V303" s="158">
        <v>0</v>
      </c>
      <c r="W303" s="158">
        <v>0</v>
      </c>
      <c r="X303" s="158">
        <v>0</v>
      </c>
      <c r="Y303" s="158">
        <v>0</v>
      </c>
      <c r="Z303" s="158">
        <v>0</v>
      </c>
      <c r="AA303" s="432">
        <v>0</v>
      </c>
      <c r="AB303" s="432">
        <v>0</v>
      </c>
      <c r="AC303" s="432">
        <v>0</v>
      </c>
      <c r="AD303" s="432">
        <v>0</v>
      </c>
      <c r="AE303" s="432">
        <v>0</v>
      </c>
      <c r="AF303" s="432">
        <v>0</v>
      </c>
      <c r="AG303" s="432">
        <v>0</v>
      </c>
      <c r="AH303" s="432">
        <v>0</v>
      </c>
      <c r="AI303" s="158">
        <v>121780</v>
      </c>
      <c r="AJ303" s="158">
        <v>0</v>
      </c>
      <c r="AK303" s="158">
        <v>121780</v>
      </c>
      <c r="AL303" s="158">
        <v>121780</v>
      </c>
      <c r="AM303" s="158">
        <v>5400000</v>
      </c>
      <c r="AN303" s="158">
        <v>121780</v>
      </c>
      <c r="AO303" s="158">
        <v>121780</v>
      </c>
      <c r="AP303" s="158">
        <v>121000</v>
      </c>
      <c r="AQ303" s="432">
        <v>0</v>
      </c>
      <c r="AR303" s="432">
        <v>0</v>
      </c>
      <c r="AS303" s="432">
        <v>0</v>
      </c>
      <c r="AT303" s="432">
        <v>0</v>
      </c>
      <c r="AU303" s="432">
        <v>0</v>
      </c>
      <c r="AV303" s="432">
        <v>0</v>
      </c>
      <c r="AW303" s="432">
        <v>0</v>
      </c>
      <c r="AX303" s="432">
        <v>0</v>
      </c>
      <c r="AY303" s="158">
        <v>0</v>
      </c>
      <c r="AZ303" s="158">
        <v>0</v>
      </c>
      <c r="BA303" s="158">
        <v>0</v>
      </c>
      <c r="BB303" s="158">
        <v>0</v>
      </c>
      <c r="BC303" s="158">
        <v>0</v>
      </c>
      <c r="BD303" s="158">
        <v>0</v>
      </c>
      <c r="BE303" s="158">
        <v>0</v>
      </c>
      <c r="BF303" s="160">
        <v>0</v>
      </c>
      <c r="BG303" s="383">
        <v>2023</v>
      </c>
      <c r="BH303" s="383">
        <v>1</v>
      </c>
      <c r="BI303" s="383">
        <v>19</v>
      </c>
      <c r="BK303" s="147" t="str">
        <f>IF(R303=SUM(Z303,AH303,AP303,AX303,BF303),"○","×")</f>
        <v>○</v>
      </c>
    </row>
    <row r="304" spans="1:63" x14ac:dyDescent="0.2">
      <c r="A304" s="428">
        <v>1499</v>
      </c>
      <c r="B304" s="429"/>
      <c r="C304" s="430"/>
      <c r="D304" s="429"/>
      <c r="E304" s="430"/>
      <c r="F304" s="429"/>
      <c r="G304" s="429"/>
      <c r="H304" s="430"/>
      <c r="I304" s="429"/>
      <c r="J304" s="429"/>
      <c r="K304" s="429"/>
      <c r="L304" s="383"/>
      <c r="M304" s="383" t="s">
        <v>747</v>
      </c>
      <c r="N304" s="383" t="s">
        <v>356</v>
      </c>
      <c r="O304" s="383" t="s">
        <v>466</v>
      </c>
      <c r="P304" s="383" t="s">
        <v>970</v>
      </c>
      <c r="Q304" s="383"/>
      <c r="R304" s="431">
        <v>359000</v>
      </c>
      <c r="S304" s="158">
        <v>0</v>
      </c>
      <c r="T304" s="158">
        <v>0</v>
      </c>
      <c r="U304" s="158">
        <v>0</v>
      </c>
      <c r="V304" s="158">
        <v>0</v>
      </c>
      <c r="W304" s="158">
        <v>0</v>
      </c>
      <c r="X304" s="158">
        <v>0</v>
      </c>
      <c r="Y304" s="158">
        <v>0</v>
      </c>
      <c r="Z304" s="158">
        <v>0</v>
      </c>
      <c r="AA304" s="432">
        <v>0</v>
      </c>
      <c r="AB304" s="432">
        <v>0</v>
      </c>
      <c r="AC304" s="432">
        <v>0</v>
      </c>
      <c r="AD304" s="432">
        <v>0</v>
      </c>
      <c r="AE304" s="432">
        <v>0</v>
      </c>
      <c r="AF304" s="432">
        <v>0</v>
      </c>
      <c r="AG304" s="432">
        <v>0</v>
      </c>
      <c r="AH304" s="432">
        <v>0</v>
      </c>
      <c r="AI304" s="158">
        <v>359040</v>
      </c>
      <c r="AJ304" s="158">
        <v>0</v>
      </c>
      <c r="AK304" s="158">
        <v>359040</v>
      </c>
      <c r="AL304" s="158">
        <v>359040</v>
      </c>
      <c r="AM304" s="158">
        <v>792000</v>
      </c>
      <c r="AN304" s="158">
        <v>359040</v>
      </c>
      <c r="AO304" s="158">
        <v>359040</v>
      </c>
      <c r="AP304" s="158">
        <v>359000</v>
      </c>
      <c r="AQ304" s="432">
        <v>0</v>
      </c>
      <c r="AR304" s="432">
        <v>0</v>
      </c>
      <c r="AS304" s="432">
        <v>0</v>
      </c>
      <c r="AT304" s="432">
        <v>0</v>
      </c>
      <c r="AU304" s="432">
        <v>0</v>
      </c>
      <c r="AV304" s="432">
        <v>0</v>
      </c>
      <c r="AW304" s="432">
        <v>0</v>
      </c>
      <c r="AX304" s="432">
        <v>0</v>
      </c>
      <c r="AY304" s="158">
        <v>0</v>
      </c>
      <c r="AZ304" s="158">
        <v>0</v>
      </c>
      <c r="BA304" s="158">
        <v>0</v>
      </c>
      <c r="BB304" s="158">
        <v>0</v>
      </c>
      <c r="BC304" s="158">
        <v>0</v>
      </c>
      <c r="BD304" s="158">
        <v>0</v>
      </c>
      <c r="BE304" s="158">
        <v>0</v>
      </c>
      <c r="BF304" s="160">
        <v>0</v>
      </c>
      <c r="BG304" s="383">
        <v>2023</v>
      </c>
      <c r="BH304" s="383">
        <v>1</v>
      </c>
      <c r="BI304" s="383">
        <v>19</v>
      </c>
      <c r="BK304" s="147" t="str">
        <f>IF(R304=SUM(Z304,AH304,AP304,AX304,BF304),"○","×")</f>
        <v>○</v>
      </c>
    </row>
    <row r="305" spans="1:63" x14ac:dyDescent="0.2">
      <c r="A305" s="428">
        <v>1500</v>
      </c>
      <c r="B305" s="429"/>
      <c r="C305" s="430"/>
      <c r="D305" s="429"/>
      <c r="E305" s="430"/>
      <c r="F305" s="429"/>
      <c r="G305" s="429"/>
      <c r="H305" s="430"/>
      <c r="I305" s="429"/>
      <c r="J305" s="429"/>
      <c r="K305" s="429"/>
      <c r="L305" s="383"/>
      <c r="M305" s="383" t="s">
        <v>748</v>
      </c>
      <c r="N305" s="383" t="s">
        <v>356</v>
      </c>
      <c r="O305" s="383" t="s">
        <v>338</v>
      </c>
      <c r="P305" s="383" t="s">
        <v>971</v>
      </c>
      <c r="Q305" s="383"/>
      <c r="R305" s="431">
        <v>100000</v>
      </c>
      <c r="S305" s="158">
        <v>0</v>
      </c>
      <c r="T305" s="158">
        <v>0</v>
      </c>
      <c r="U305" s="158">
        <v>0</v>
      </c>
      <c r="V305" s="158">
        <v>0</v>
      </c>
      <c r="W305" s="158">
        <v>0</v>
      </c>
      <c r="X305" s="158">
        <v>0</v>
      </c>
      <c r="Y305" s="158">
        <v>0</v>
      </c>
      <c r="Z305" s="158">
        <v>0</v>
      </c>
      <c r="AA305" s="432">
        <v>0</v>
      </c>
      <c r="AB305" s="432">
        <v>0</v>
      </c>
      <c r="AC305" s="432">
        <v>0</v>
      </c>
      <c r="AD305" s="432">
        <v>0</v>
      </c>
      <c r="AE305" s="432">
        <v>0</v>
      </c>
      <c r="AF305" s="432">
        <v>0</v>
      </c>
      <c r="AG305" s="432">
        <v>0</v>
      </c>
      <c r="AH305" s="432">
        <v>0</v>
      </c>
      <c r="AI305" s="158">
        <v>100583</v>
      </c>
      <c r="AJ305" s="158">
        <v>0</v>
      </c>
      <c r="AK305" s="158">
        <v>100583</v>
      </c>
      <c r="AL305" s="158">
        <v>100583</v>
      </c>
      <c r="AM305" s="158">
        <v>871200</v>
      </c>
      <c r="AN305" s="158">
        <v>100583</v>
      </c>
      <c r="AO305" s="158">
        <v>100583</v>
      </c>
      <c r="AP305" s="158">
        <v>100000</v>
      </c>
      <c r="AQ305" s="432">
        <v>0</v>
      </c>
      <c r="AR305" s="432">
        <v>0</v>
      </c>
      <c r="AS305" s="432">
        <v>0</v>
      </c>
      <c r="AT305" s="432">
        <v>0</v>
      </c>
      <c r="AU305" s="432">
        <v>0</v>
      </c>
      <c r="AV305" s="432">
        <v>0</v>
      </c>
      <c r="AW305" s="432">
        <v>0</v>
      </c>
      <c r="AX305" s="432">
        <v>0</v>
      </c>
      <c r="AY305" s="158">
        <v>0</v>
      </c>
      <c r="AZ305" s="158">
        <v>0</v>
      </c>
      <c r="BA305" s="158">
        <v>0</v>
      </c>
      <c r="BB305" s="158">
        <v>0</v>
      </c>
      <c r="BC305" s="158">
        <v>0</v>
      </c>
      <c r="BD305" s="158">
        <v>0</v>
      </c>
      <c r="BE305" s="158">
        <v>0</v>
      </c>
      <c r="BF305" s="160">
        <v>0</v>
      </c>
      <c r="BG305" s="383">
        <v>2023</v>
      </c>
      <c r="BH305" s="383">
        <v>1</v>
      </c>
      <c r="BI305" s="383">
        <v>19</v>
      </c>
      <c r="BK305" s="147" t="str">
        <f>IF(R305=SUM(Z305,AH305,AP305,AX305,BF305),"○","×")</f>
        <v>○</v>
      </c>
    </row>
    <row r="306" spans="1:63" x14ac:dyDescent="0.2">
      <c r="A306" s="428">
        <v>1501</v>
      </c>
      <c r="B306" s="429"/>
      <c r="C306" s="430"/>
      <c r="D306" s="429"/>
      <c r="E306" s="430"/>
      <c r="F306" s="429"/>
      <c r="G306" s="429"/>
      <c r="H306" s="430"/>
      <c r="I306" s="429"/>
      <c r="J306" s="429"/>
      <c r="K306" s="429"/>
      <c r="L306" s="383"/>
      <c r="M306" s="383" t="s">
        <v>749</v>
      </c>
      <c r="N306" s="383" t="s">
        <v>323</v>
      </c>
      <c r="O306" s="383" t="s">
        <v>348</v>
      </c>
      <c r="P306" s="383" t="s">
        <v>970</v>
      </c>
      <c r="Q306" s="383"/>
      <c r="R306" s="431">
        <v>868000</v>
      </c>
      <c r="S306" s="158">
        <v>0</v>
      </c>
      <c r="T306" s="158">
        <v>0</v>
      </c>
      <c r="U306" s="158">
        <v>0</v>
      </c>
      <c r="V306" s="158">
        <v>0</v>
      </c>
      <c r="W306" s="158">
        <v>0</v>
      </c>
      <c r="X306" s="158">
        <v>0</v>
      </c>
      <c r="Y306" s="158">
        <v>0</v>
      </c>
      <c r="Z306" s="158">
        <v>0</v>
      </c>
      <c r="AA306" s="432">
        <v>0</v>
      </c>
      <c r="AB306" s="432">
        <v>0</v>
      </c>
      <c r="AC306" s="432">
        <v>0</v>
      </c>
      <c r="AD306" s="432">
        <v>0</v>
      </c>
      <c r="AE306" s="432">
        <v>0</v>
      </c>
      <c r="AF306" s="432">
        <v>0</v>
      </c>
      <c r="AG306" s="432">
        <v>0</v>
      </c>
      <c r="AH306" s="432">
        <v>0</v>
      </c>
      <c r="AI306" s="158">
        <v>868350</v>
      </c>
      <c r="AJ306" s="158">
        <v>0</v>
      </c>
      <c r="AK306" s="158">
        <v>868350</v>
      </c>
      <c r="AL306" s="158">
        <v>868350</v>
      </c>
      <c r="AM306" s="158">
        <v>6264000</v>
      </c>
      <c r="AN306" s="158">
        <v>868350</v>
      </c>
      <c r="AO306" s="158">
        <v>868350</v>
      </c>
      <c r="AP306" s="158">
        <v>868000</v>
      </c>
      <c r="AQ306" s="432">
        <v>0</v>
      </c>
      <c r="AR306" s="432">
        <v>0</v>
      </c>
      <c r="AS306" s="432">
        <v>0</v>
      </c>
      <c r="AT306" s="432">
        <v>0</v>
      </c>
      <c r="AU306" s="432">
        <v>0</v>
      </c>
      <c r="AV306" s="432">
        <v>0</v>
      </c>
      <c r="AW306" s="432">
        <v>0</v>
      </c>
      <c r="AX306" s="432">
        <v>0</v>
      </c>
      <c r="AY306" s="158">
        <v>0</v>
      </c>
      <c r="AZ306" s="158">
        <v>0</v>
      </c>
      <c r="BA306" s="158">
        <v>0</v>
      </c>
      <c r="BB306" s="158">
        <v>0</v>
      </c>
      <c r="BC306" s="158">
        <v>0</v>
      </c>
      <c r="BD306" s="158">
        <v>0</v>
      </c>
      <c r="BE306" s="158">
        <v>0</v>
      </c>
      <c r="BF306" s="160">
        <v>0</v>
      </c>
      <c r="BG306" s="383">
        <v>2023</v>
      </c>
      <c r="BH306" s="383">
        <v>1</v>
      </c>
      <c r="BI306" s="383">
        <v>19</v>
      </c>
      <c r="BK306" s="147" t="str">
        <f>IF(R306=SUM(Z306,AH306,AP306,AX306,BF306),"○","×")</f>
        <v>○</v>
      </c>
    </row>
    <row r="307" spans="1:63" x14ac:dyDescent="0.2">
      <c r="A307" s="428">
        <v>1502</v>
      </c>
      <c r="B307" s="429"/>
      <c r="C307" s="430"/>
      <c r="D307" s="429"/>
      <c r="E307" s="430"/>
      <c r="F307" s="429"/>
      <c r="G307" s="429"/>
      <c r="H307" s="430"/>
      <c r="I307" s="429"/>
      <c r="J307" s="429"/>
      <c r="K307" s="429"/>
      <c r="L307" s="383"/>
      <c r="M307" s="383" t="s">
        <v>750</v>
      </c>
      <c r="N307" s="383" t="s">
        <v>323</v>
      </c>
      <c r="O307" s="383" t="s">
        <v>486</v>
      </c>
      <c r="P307" s="383" t="s">
        <v>970</v>
      </c>
      <c r="Q307" s="383"/>
      <c r="R307" s="431">
        <v>154000</v>
      </c>
      <c r="S307" s="158">
        <v>0</v>
      </c>
      <c r="T307" s="158">
        <v>0</v>
      </c>
      <c r="U307" s="158">
        <v>0</v>
      </c>
      <c r="V307" s="158">
        <v>0</v>
      </c>
      <c r="W307" s="158">
        <v>0</v>
      </c>
      <c r="X307" s="158">
        <v>0</v>
      </c>
      <c r="Y307" s="158">
        <v>0</v>
      </c>
      <c r="Z307" s="158">
        <v>0</v>
      </c>
      <c r="AA307" s="432">
        <v>0</v>
      </c>
      <c r="AB307" s="432">
        <v>0</v>
      </c>
      <c r="AC307" s="432">
        <v>0</v>
      </c>
      <c r="AD307" s="432">
        <v>0</v>
      </c>
      <c r="AE307" s="432">
        <v>0</v>
      </c>
      <c r="AF307" s="432">
        <v>0</v>
      </c>
      <c r="AG307" s="432">
        <v>0</v>
      </c>
      <c r="AH307" s="432">
        <v>0</v>
      </c>
      <c r="AI307" s="158">
        <v>154660</v>
      </c>
      <c r="AJ307" s="158">
        <v>0</v>
      </c>
      <c r="AK307" s="158">
        <v>154660</v>
      </c>
      <c r="AL307" s="158">
        <v>154660</v>
      </c>
      <c r="AM307" s="158">
        <v>2610000</v>
      </c>
      <c r="AN307" s="158">
        <v>154660</v>
      </c>
      <c r="AO307" s="158">
        <v>154660</v>
      </c>
      <c r="AP307" s="158">
        <v>154000</v>
      </c>
      <c r="AQ307" s="432">
        <v>0</v>
      </c>
      <c r="AR307" s="432">
        <v>0</v>
      </c>
      <c r="AS307" s="432">
        <v>0</v>
      </c>
      <c r="AT307" s="432">
        <v>0</v>
      </c>
      <c r="AU307" s="432">
        <v>0</v>
      </c>
      <c r="AV307" s="432">
        <v>0</v>
      </c>
      <c r="AW307" s="432">
        <v>0</v>
      </c>
      <c r="AX307" s="432">
        <v>0</v>
      </c>
      <c r="AY307" s="158">
        <v>0</v>
      </c>
      <c r="AZ307" s="158">
        <v>0</v>
      </c>
      <c r="BA307" s="158">
        <v>0</v>
      </c>
      <c r="BB307" s="158">
        <v>0</v>
      </c>
      <c r="BC307" s="158">
        <v>0</v>
      </c>
      <c r="BD307" s="158">
        <v>0</v>
      </c>
      <c r="BE307" s="158">
        <v>0</v>
      </c>
      <c r="BF307" s="160">
        <v>0</v>
      </c>
      <c r="BG307" s="383">
        <v>2023</v>
      </c>
      <c r="BH307" s="383">
        <v>1</v>
      </c>
      <c r="BI307" s="383">
        <v>19</v>
      </c>
      <c r="BK307" s="147" t="str">
        <f>IF(R307=SUM(Z307,AH307,AP307,AX307,BF307),"○","×")</f>
        <v>○</v>
      </c>
    </row>
    <row r="308" spans="1:63" x14ac:dyDescent="0.2">
      <c r="A308" s="428">
        <v>1503</v>
      </c>
      <c r="B308" s="429"/>
      <c r="C308" s="430"/>
      <c r="D308" s="429"/>
      <c r="E308" s="430"/>
      <c r="F308" s="429"/>
      <c r="G308" s="429"/>
      <c r="H308" s="430"/>
      <c r="I308" s="429"/>
      <c r="J308" s="429"/>
      <c r="K308" s="429"/>
      <c r="L308" s="383"/>
      <c r="M308" s="383" t="s">
        <v>751</v>
      </c>
      <c r="N308" s="383" t="s">
        <v>323</v>
      </c>
      <c r="O308" s="383" t="s">
        <v>752</v>
      </c>
      <c r="P308" s="383" t="s">
        <v>970</v>
      </c>
      <c r="Q308" s="146"/>
      <c r="R308" s="431">
        <v>136000</v>
      </c>
      <c r="S308" s="158">
        <v>0</v>
      </c>
      <c r="T308" s="158">
        <v>0</v>
      </c>
      <c r="U308" s="158">
        <v>0</v>
      </c>
      <c r="V308" s="158">
        <v>0</v>
      </c>
      <c r="W308" s="158">
        <v>0</v>
      </c>
      <c r="X308" s="158">
        <v>0</v>
      </c>
      <c r="Y308" s="158">
        <v>0</v>
      </c>
      <c r="Z308" s="158">
        <v>0</v>
      </c>
      <c r="AA308" s="432">
        <v>0</v>
      </c>
      <c r="AB308" s="432">
        <v>0</v>
      </c>
      <c r="AC308" s="432">
        <v>0</v>
      </c>
      <c r="AD308" s="432">
        <v>0</v>
      </c>
      <c r="AE308" s="432">
        <v>0</v>
      </c>
      <c r="AF308" s="432">
        <v>0</v>
      </c>
      <c r="AG308" s="432">
        <v>0</v>
      </c>
      <c r="AH308" s="432">
        <v>0</v>
      </c>
      <c r="AI308" s="158">
        <v>136630</v>
      </c>
      <c r="AJ308" s="158">
        <v>0</v>
      </c>
      <c r="AK308" s="158">
        <v>136630</v>
      </c>
      <c r="AL308" s="158">
        <v>136630</v>
      </c>
      <c r="AM308" s="158">
        <v>2160000</v>
      </c>
      <c r="AN308" s="158">
        <v>136630</v>
      </c>
      <c r="AO308" s="158">
        <v>136630</v>
      </c>
      <c r="AP308" s="158">
        <v>136000</v>
      </c>
      <c r="AQ308" s="432">
        <v>0</v>
      </c>
      <c r="AR308" s="432">
        <v>0</v>
      </c>
      <c r="AS308" s="432">
        <v>0</v>
      </c>
      <c r="AT308" s="432">
        <v>0</v>
      </c>
      <c r="AU308" s="432">
        <v>0</v>
      </c>
      <c r="AV308" s="432">
        <v>0</v>
      </c>
      <c r="AW308" s="432">
        <v>0</v>
      </c>
      <c r="AX308" s="432">
        <v>0</v>
      </c>
      <c r="AY308" s="158">
        <v>0</v>
      </c>
      <c r="AZ308" s="158">
        <v>0</v>
      </c>
      <c r="BA308" s="158">
        <v>0</v>
      </c>
      <c r="BB308" s="158">
        <v>0</v>
      </c>
      <c r="BC308" s="158">
        <v>0</v>
      </c>
      <c r="BD308" s="158">
        <v>0</v>
      </c>
      <c r="BE308" s="158">
        <v>0</v>
      </c>
      <c r="BF308" s="160">
        <v>0</v>
      </c>
      <c r="BG308" s="383">
        <v>2023</v>
      </c>
      <c r="BH308" s="383">
        <v>1</v>
      </c>
      <c r="BI308" s="383">
        <v>19</v>
      </c>
      <c r="BK308" s="147" t="str">
        <f>IF(R308=SUM(Z308,AH308,AP308,AX308,BF308),"○","×")</f>
        <v>○</v>
      </c>
    </row>
    <row r="309" spans="1:63" x14ac:dyDescent="0.2">
      <c r="A309" s="428">
        <v>1504</v>
      </c>
      <c r="B309" s="429"/>
      <c r="C309" s="430"/>
      <c r="D309" s="429"/>
      <c r="E309" s="430"/>
      <c r="F309" s="429"/>
      <c r="G309" s="429"/>
      <c r="H309" s="430"/>
      <c r="I309" s="429"/>
      <c r="J309" s="429"/>
      <c r="K309" s="429"/>
      <c r="L309" s="383"/>
      <c r="M309" s="383" t="s">
        <v>753</v>
      </c>
      <c r="N309" s="383" t="s">
        <v>754</v>
      </c>
      <c r="O309" s="383" t="s">
        <v>484</v>
      </c>
      <c r="P309" s="383" t="s">
        <v>970</v>
      </c>
      <c r="Q309" s="383"/>
      <c r="R309" s="431">
        <v>69000</v>
      </c>
      <c r="S309" s="158">
        <v>0</v>
      </c>
      <c r="T309" s="158">
        <v>0</v>
      </c>
      <c r="U309" s="158">
        <v>0</v>
      </c>
      <c r="V309" s="158">
        <v>0</v>
      </c>
      <c r="W309" s="158">
        <v>0</v>
      </c>
      <c r="X309" s="158">
        <v>0</v>
      </c>
      <c r="Y309" s="158">
        <v>0</v>
      </c>
      <c r="Z309" s="158">
        <v>0</v>
      </c>
      <c r="AA309" s="432">
        <v>0</v>
      </c>
      <c r="AB309" s="432">
        <v>0</v>
      </c>
      <c r="AC309" s="432">
        <v>0</v>
      </c>
      <c r="AD309" s="432">
        <v>0</v>
      </c>
      <c r="AE309" s="432">
        <v>0</v>
      </c>
      <c r="AF309" s="432">
        <v>0</v>
      </c>
      <c r="AG309" s="432">
        <v>0</v>
      </c>
      <c r="AH309" s="432">
        <v>0</v>
      </c>
      <c r="AI309" s="158">
        <v>69422</v>
      </c>
      <c r="AJ309" s="158">
        <v>0</v>
      </c>
      <c r="AK309" s="158">
        <v>69422</v>
      </c>
      <c r="AL309" s="158">
        <v>69422</v>
      </c>
      <c r="AM309" s="158">
        <v>1317600</v>
      </c>
      <c r="AN309" s="158">
        <v>69422</v>
      </c>
      <c r="AO309" s="158">
        <v>69422</v>
      </c>
      <c r="AP309" s="158">
        <v>69000</v>
      </c>
      <c r="AQ309" s="432">
        <v>0</v>
      </c>
      <c r="AR309" s="432">
        <v>0</v>
      </c>
      <c r="AS309" s="432">
        <v>0</v>
      </c>
      <c r="AT309" s="432">
        <v>0</v>
      </c>
      <c r="AU309" s="432">
        <v>0</v>
      </c>
      <c r="AV309" s="432">
        <v>0</v>
      </c>
      <c r="AW309" s="432">
        <v>0</v>
      </c>
      <c r="AX309" s="432">
        <v>0</v>
      </c>
      <c r="AY309" s="158">
        <v>0</v>
      </c>
      <c r="AZ309" s="158">
        <v>0</v>
      </c>
      <c r="BA309" s="158">
        <v>0</v>
      </c>
      <c r="BB309" s="158">
        <v>0</v>
      </c>
      <c r="BC309" s="158">
        <v>0</v>
      </c>
      <c r="BD309" s="158">
        <v>0</v>
      </c>
      <c r="BE309" s="158">
        <v>0</v>
      </c>
      <c r="BF309" s="160">
        <v>0</v>
      </c>
      <c r="BG309" s="383">
        <v>2023</v>
      </c>
      <c r="BH309" s="383">
        <v>1</v>
      </c>
      <c r="BI309" s="383">
        <v>19</v>
      </c>
      <c r="BK309" s="147" t="str">
        <f>IF(R309=SUM(Z309,AH309,AP309,AX309,BF309),"○","×")</f>
        <v>○</v>
      </c>
    </row>
    <row r="310" spans="1:63" x14ac:dyDescent="0.2">
      <c r="A310" s="428">
        <v>1506</v>
      </c>
      <c r="B310" s="429"/>
      <c r="C310" s="430"/>
      <c r="D310" s="429"/>
      <c r="E310" s="430"/>
      <c r="F310" s="429"/>
      <c r="G310" s="429"/>
      <c r="H310" s="430"/>
      <c r="I310" s="429"/>
      <c r="J310" s="429"/>
      <c r="K310" s="429"/>
      <c r="L310" s="383"/>
      <c r="M310" s="383" t="s">
        <v>755</v>
      </c>
      <c r="N310" s="383" t="s">
        <v>427</v>
      </c>
      <c r="O310" s="383" t="s">
        <v>756</v>
      </c>
      <c r="P310" s="383" t="s">
        <v>970</v>
      </c>
      <c r="Q310" s="383"/>
      <c r="R310" s="431">
        <v>59000</v>
      </c>
      <c r="S310" s="158">
        <v>0</v>
      </c>
      <c r="T310" s="158">
        <v>0</v>
      </c>
      <c r="U310" s="158">
        <v>0</v>
      </c>
      <c r="V310" s="158">
        <v>0</v>
      </c>
      <c r="W310" s="158">
        <v>0</v>
      </c>
      <c r="X310" s="158">
        <v>0</v>
      </c>
      <c r="Y310" s="158">
        <v>0</v>
      </c>
      <c r="Z310" s="158">
        <v>0</v>
      </c>
      <c r="AA310" s="432">
        <v>0</v>
      </c>
      <c r="AB310" s="432">
        <v>0</v>
      </c>
      <c r="AC310" s="432">
        <v>0</v>
      </c>
      <c r="AD310" s="432">
        <v>0</v>
      </c>
      <c r="AE310" s="432">
        <v>0</v>
      </c>
      <c r="AF310" s="432">
        <v>0</v>
      </c>
      <c r="AG310" s="432">
        <v>0</v>
      </c>
      <c r="AH310" s="432">
        <v>0</v>
      </c>
      <c r="AI310" s="158">
        <v>59846</v>
      </c>
      <c r="AJ310" s="158">
        <v>0</v>
      </c>
      <c r="AK310" s="158">
        <v>59846</v>
      </c>
      <c r="AL310" s="158">
        <v>59846</v>
      </c>
      <c r="AM310" s="158">
        <v>7020000</v>
      </c>
      <c r="AN310" s="158">
        <v>59846</v>
      </c>
      <c r="AO310" s="158">
        <v>59846</v>
      </c>
      <c r="AP310" s="158">
        <v>59000</v>
      </c>
      <c r="AQ310" s="432">
        <v>0</v>
      </c>
      <c r="AR310" s="432">
        <v>0</v>
      </c>
      <c r="AS310" s="432">
        <v>0</v>
      </c>
      <c r="AT310" s="432">
        <v>0</v>
      </c>
      <c r="AU310" s="432">
        <v>0</v>
      </c>
      <c r="AV310" s="432">
        <v>0</v>
      </c>
      <c r="AW310" s="432">
        <v>0</v>
      </c>
      <c r="AX310" s="432">
        <v>0</v>
      </c>
      <c r="AY310" s="158">
        <v>0</v>
      </c>
      <c r="AZ310" s="158">
        <v>0</v>
      </c>
      <c r="BA310" s="158">
        <v>0</v>
      </c>
      <c r="BB310" s="158">
        <v>0</v>
      </c>
      <c r="BC310" s="158">
        <v>0</v>
      </c>
      <c r="BD310" s="158">
        <v>0</v>
      </c>
      <c r="BE310" s="158">
        <v>0</v>
      </c>
      <c r="BF310" s="160">
        <v>0</v>
      </c>
      <c r="BG310" s="383">
        <v>2023</v>
      </c>
      <c r="BH310" s="383">
        <v>1</v>
      </c>
      <c r="BI310" s="383">
        <v>19</v>
      </c>
      <c r="BK310" s="147" t="str">
        <f>IF(R310=SUM(Z310,AH310,AP310,AX310,BF310),"○","×")</f>
        <v>○</v>
      </c>
    </row>
    <row r="311" spans="1:63" x14ac:dyDescent="0.2">
      <c r="A311" s="428">
        <v>1507</v>
      </c>
      <c r="B311" s="429"/>
      <c r="C311" s="430"/>
      <c r="D311" s="429"/>
      <c r="E311" s="430"/>
      <c r="F311" s="429"/>
      <c r="G311" s="429"/>
      <c r="H311" s="430"/>
      <c r="I311" s="429"/>
      <c r="J311" s="429"/>
      <c r="K311" s="429"/>
      <c r="L311" s="383"/>
      <c r="M311" s="383" t="s">
        <v>757</v>
      </c>
      <c r="N311" s="383" t="s">
        <v>384</v>
      </c>
      <c r="O311" s="383" t="s">
        <v>758</v>
      </c>
      <c r="P311" s="383" t="s">
        <v>970</v>
      </c>
      <c r="Q311" s="383"/>
      <c r="R311" s="431">
        <v>298000</v>
      </c>
      <c r="S311" s="158">
        <v>0</v>
      </c>
      <c r="T311" s="158">
        <v>0</v>
      </c>
      <c r="U311" s="158">
        <v>0</v>
      </c>
      <c r="V311" s="158">
        <v>0</v>
      </c>
      <c r="W311" s="158">
        <v>0</v>
      </c>
      <c r="X311" s="158">
        <v>0</v>
      </c>
      <c r="Y311" s="158">
        <v>0</v>
      </c>
      <c r="Z311" s="158">
        <v>0</v>
      </c>
      <c r="AA311" s="432">
        <v>0</v>
      </c>
      <c r="AB311" s="432">
        <v>0</v>
      </c>
      <c r="AC311" s="432">
        <v>0</v>
      </c>
      <c r="AD311" s="432">
        <v>0</v>
      </c>
      <c r="AE311" s="432">
        <v>0</v>
      </c>
      <c r="AF311" s="432">
        <v>0</v>
      </c>
      <c r="AG311" s="432">
        <v>0</v>
      </c>
      <c r="AH311" s="432">
        <v>0</v>
      </c>
      <c r="AI311" s="158">
        <v>298940</v>
      </c>
      <c r="AJ311" s="158">
        <v>0</v>
      </c>
      <c r="AK311" s="158">
        <v>298940</v>
      </c>
      <c r="AL311" s="158">
        <v>298940</v>
      </c>
      <c r="AM311" s="158">
        <v>2160000</v>
      </c>
      <c r="AN311" s="158">
        <v>298940</v>
      </c>
      <c r="AO311" s="158">
        <v>298940</v>
      </c>
      <c r="AP311" s="158">
        <v>298000</v>
      </c>
      <c r="AQ311" s="432">
        <v>0</v>
      </c>
      <c r="AR311" s="432">
        <v>0</v>
      </c>
      <c r="AS311" s="432">
        <v>0</v>
      </c>
      <c r="AT311" s="432">
        <v>0</v>
      </c>
      <c r="AU311" s="432">
        <v>0</v>
      </c>
      <c r="AV311" s="432">
        <v>0</v>
      </c>
      <c r="AW311" s="432">
        <v>0</v>
      </c>
      <c r="AX311" s="432">
        <v>0</v>
      </c>
      <c r="AY311" s="158">
        <v>0</v>
      </c>
      <c r="AZ311" s="158">
        <v>0</v>
      </c>
      <c r="BA311" s="158">
        <v>0</v>
      </c>
      <c r="BB311" s="158">
        <v>0</v>
      </c>
      <c r="BC311" s="158">
        <v>0</v>
      </c>
      <c r="BD311" s="158">
        <v>0</v>
      </c>
      <c r="BE311" s="158">
        <v>0</v>
      </c>
      <c r="BF311" s="160">
        <v>0</v>
      </c>
      <c r="BG311" s="383">
        <v>2023</v>
      </c>
      <c r="BH311" s="383">
        <v>1</v>
      </c>
      <c r="BI311" s="383">
        <v>19</v>
      </c>
      <c r="BK311" s="147" t="str">
        <f>IF(R311=SUM(Z311,AH311,AP311,AX311,BF311),"○","×")</f>
        <v>○</v>
      </c>
    </row>
    <row r="312" spans="1:63" x14ac:dyDescent="0.2">
      <c r="A312" s="428">
        <v>1508</v>
      </c>
      <c r="B312" s="429"/>
      <c r="C312" s="430"/>
      <c r="D312" s="429"/>
      <c r="E312" s="430"/>
      <c r="F312" s="429"/>
      <c r="G312" s="429"/>
      <c r="H312" s="430"/>
      <c r="I312" s="429"/>
      <c r="J312" s="429"/>
      <c r="K312" s="429"/>
      <c r="L312" s="383"/>
      <c r="M312" s="383" t="s">
        <v>663</v>
      </c>
      <c r="N312" s="383" t="s">
        <v>367</v>
      </c>
      <c r="O312" s="383" t="s">
        <v>506</v>
      </c>
      <c r="P312" s="383" t="s">
        <v>970</v>
      </c>
      <c r="Q312" s="383"/>
      <c r="R312" s="431">
        <v>313000</v>
      </c>
      <c r="S312" s="158">
        <v>0</v>
      </c>
      <c r="T312" s="158">
        <v>0</v>
      </c>
      <c r="U312" s="158">
        <v>0</v>
      </c>
      <c r="V312" s="158">
        <v>0</v>
      </c>
      <c r="W312" s="158">
        <v>0</v>
      </c>
      <c r="X312" s="158">
        <v>0</v>
      </c>
      <c r="Y312" s="158">
        <v>0</v>
      </c>
      <c r="Z312" s="158">
        <v>0</v>
      </c>
      <c r="AA312" s="432">
        <v>0</v>
      </c>
      <c r="AB312" s="432">
        <v>0</v>
      </c>
      <c r="AC312" s="432">
        <v>0</v>
      </c>
      <c r="AD312" s="432">
        <v>0</v>
      </c>
      <c r="AE312" s="432">
        <v>0</v>
      </c>
      <c r="AF312" s="432">
        <v>0</v>
      </c>
      <c r="AG312" s="432">
        <v>0</v>
      </c>
      <c r="AH312" s="432">
        <v>0</v>
      </c>
      <c r="AI312" s="158">
        <v>313455</v>
      </c>
      <c r="AJ312" s="158">
        <v>0</v>
      </c>
      <c r="AK312" s="158">
        <v>313455</v>
      </c>
      <c r="AL312" s="158">
        <v>313455</v>
      </c>
      <c r="AM312" s="158">
        <v>9849600</v>
      </c>
      <c r="AN312" s="158">
        <v>313455</v>
      </c>
      <c r="AO312" s="158">
        <v>313455</v>
      </c>
      <c r="AP312" s="158">
        <v>313000</v>
      </c>
      <c r="AQ312" s="432">
        <v>0</v>
      </c>
      <c r="AR312" s="432">
        <v>0</v>
      </c>
      <c r="AS312" s="432">
        <v>0</v>
      </c>
      <c r="AT312" s="432">
        <v>0</v>
      </c>
      <c r="AU312" s="432">
        <v>0</v>
      </c>
      <c r="AV312" s="432">
        <v>0</v>
      </c>
      <c r="AW312" s="432">
        <v>0</v>
      </c>
      <c r="AX312" s="432">
        <v>0</v>
      </c>
      <c r="AY312" s="158">
        <v>0</v>
      </c>
      <c r="AZ312" s="158">
        <v>0</v>
      </c>
      <c r="BA312" s="158">
        <v>0</v>
      </c>
      <c r="BB312" s="158">
        <v>0</v>
      </c>
      <c r="BC312" s="158">
        <v>0</v>
      </c>
      <c r="BD312" s="158">
        <v>0</v>
      </c>
      <c r="BE312" s="158">
        <v>0</v>
      </c>
      <c r="BF312" s="160">
        <v>0</v>
      </c>
      <c r="BG312" s="383">
        <v>2023</v>
      </c>
      <c r="BH312" s="383">
        <v>1</v>
      </c>
      <c r="BI312" s="383">
        <v>19</v>
      </c>
      <c r="BK312" s="147" t="str">
        <f>IF(R312=SUM(Z312,AH312,AP312,AX312,BF312),"○","×")</f>
        <v>○</v>
      </c>
    </row>
    <row r="313" spans="1:63" x14ac:dyDescent="0.2">
      <c r="A313" s="428">
        <v>1509</v>
      </c>
      <c r="B313" s="429"/>
      <c r="C313" s="430"/>
      <c r="D313" s="429"/>
      <c r="E313" s="430"/>
      <c r="F313" s="429"/>
      <c r="G313" s="429"/>
      <c r="H313" s="430"/>
      <c r="I313" s="429"/>
      <c r="J313" s="429"/>
      <c r="K313" s="429"/>
      <c r="L313" s="383"/>
      <c r="M313" s="383" t="s">
        <v>723</v>
      </c>
      <c r="N313" s="383" t="s">
        <v>323</v>
      </c>
      <c r="O313" s="383" t="s">
        <v>563</v>
      </c>
      <c r="P313" s="383" t="s">
        <v>970</v>
      </c>
      <c r="Q313" s="383"/>
      <c r="R313" s="431">
        <v>346000</v>
      </c>
      <c r="S313" s="158">
        <v>0</v>
      </c>
      <c r="T313" s="158">
        <v>0</v>
      </c>
      <c r="U313" s="158">
        <v>0</v>
      </c>
      <c r="V313" s="158">
        <v>0</v>
      </c>
      <c r="W313" s="158">
        <v>0</v>
      </c>
      <c r="X313" s="158">
        <v>0</v>
      </c>
      <c r="Y313" s="158">
        <v>0</v>
      </c>
      <c r="Z313" s="158">
        <v>0</v>
      </c>
      <c r="AA313" s="432">
        <v>0</v>
      </c>
      <c r="AB313" s="432">
        <v>0</v>
      </c>
      <c r="AC313" s="432">
        <v>0</v>
      </c>
      <c r="AD313" s="432">
        <v>0</v>
      </c>
      <c r="AE313" s="432">
        <v>0</v>
      </c>
      <c r="AF313" s="432">
        <v>0</v>
      </c>
      <c r="AG313" s="432">
        <v>0</v>
      </c>
      <c r="AH313" s="432">
        <v>0</v>
      </c>
      <c r="AI313" s="158">
        <v>346520</v>
      </c>
      <c r="AJ313" s="158">
        <v>0</v>
      </c>
      <c r="AK313" s="158">
        <v>346520</v>
      </c>
      <c r="AL313" s="158">
        <v>346520</v>
      </c>
      <c r="AM313" s="158">
        <v>864000</v>
      </c>
      <c r="AN313" s="158">
        <v>346520</v>
      </c>
      <c r="AO313" s="158">
        <v>346520</v>
      </c>
      <c r="AP313" s="158">
        <v>346000</v>
      </c>
      <c r="AQ313" s="432">
        <v>0</v>
      </c>
      <c r="AR313" s="432">
        <v>0</v>
      </c>
      <c r="AS313" s="432">
        <v>0</v>
      </c>
      <c r="AT313" s="432">
        <v>0</v>
      </c>
      <c r="AU313" s="432">
        <v>0</v>
      </c>
      <c r="AV313" s="432">
        <v>0</v>
      </c>
      <c r="AW313" s="432">
        <v>0</v>
      </c>
      <c r="AX313" s="432">
        <v>0</v>
      </c>
      <c r="AY313" s="158">
        <v>0</v>
      </c>
      <c r="AZ313" s="158">
        <v>0</v>
      </c>
      <c r="BA313" s="158">
        <v>0</v>
      </c>
      <c r="BB313" s="158">
        <v>0</v>
      </c>
      <c r="BC313" s="158">
        <v>0</v>
      </c>
      <c r="BD313" s="158">
        <v>0</v>
      </c>
      <c r="BE313" s="158">
        <v>0</v>
      </c>
      <c r="BF313" s="160">
        <v>0</v>
      </c>
      <c r="BG313" s="383">
        <v>2023</v>
      </c>
      <c r="BH313" s="383">
        <v>1</v>
      </c>
      <c r="BI313" s="383">
        <v>19</v>
      </c>
      <c r="BK313" s="147" t="str">
        <f>IF(R313=SUM(Z313,AH313,AP313,AX313,BF313),"○","×")</f>
        <v>○</v>
      </c>
    </row>
    <row r="314" spans="1:63" x14ac:dyDescent="0.2">
      <c r="A314" s="428">
        <v>1510</v>
      </c>
      <c r="B314" s="429"/>
      <c r="C314" s="430"/>
      <c r="D314" s="429"/>
      <c r="E314" s="430"/>
      <c r="F314" s="429"/>
      <c r="G314" s="429"/>
      <c r="H314" s="430"/>
      <c r="I314" s="429"/>
      <c r="J314" s="429"/>
      <c r="K314" s="429"/>
      <c r="L314" s="383"/>
      <c r="M314" s="383" t="s">
        <v>759</v>
      </c>
      <c r="N314" s="383" t="s">
        <v>323</v>
      </c>
      <c r="O314" s="383" t="s">
        <v>679</v>
      </c>
      <c r="P314" s="383" t="s">
        <v>970</v>
      </c>
      <c r="Q314" s="146"/>
      <c r="R314" s="431">
        <v>802000</v>
      </c>
      <c r="S314" s="158">
        <v>0</v>
      </c>
      <c r="T314" s="158">
        <v>0</v>
      </c>
      <c r="U314" s="158">
        <v>0</v>
      </c>
      <c r="V314" s="158">
        <v>0</v>
      </c>
      <c r="W314" s="158">
        <v>0</v>
      </c>
      <c r="X314" s="158">
        <v>0</v>
      </c>
      <c r="Y314" s="158">
        <v>0</v>
      </c>
      <c r="Z314" s="158">
        <v>0</v>
      </c>
      <c r="AA314" s="432">
        <v>0</v>
      </c>
      <c r="AB314" s="432">
        <v>0</v>
      </c>
      <c r="AC314" s="432">
        <v>0</v>
      </c>
      <c r="AD314" s="432">
        <v>0</v>
      </c>
      <c r="AE314" s="432">
        <v>0</v>
      </c>
      <c r="AF314" s="432">
        <v>0</v>
      </c>
      <c r="AG314" s="432">
        <v>0</v>
      </c>
      <c r="AH314" s="432">
        <v>0</v>
      </c>
      <c r="AI314" s="158">
        <v>802155</v>
      </c>
      <c r="AJ314" s="158">
        <v>0</v>
      </c>
      <c r="AK314" s="158">
        <v>802155</v>
      </c>
      <c r="AL314" s="158">
        <v>802155</v>
      </c>
      <c r="AM314" s="158">
        <v>2592000</v>
      </c>
      <c r="AN314" s="158">
        <v>802155</v>
      </c>
      <c r="AO314" s="158">
        <v>802155</v>
      </c>
      <c r="AP314" s="158">
        <v>802000</v>
      </c>
      <c r="AQ314" s="432">
        <v>0</v>
      </c>
      <c r="AR314" s="432">
        <v>0</v>
      </c>
      <c r="AS314" s="432">
        <v>0</v>
      </c>
      <c r="AT314" s="432">
        <v>0</v>
      </c>
      <c r="AU314" s="432">
        <v>0</v>
      </c>
      <c r="AV314" s="432">
        <v>0</v>
      </c>
      <c r="AW314" s="432">
        <v>0</v>
      </c>
      <c r="AX314" s="432">
        <v>0</v>
      </c>
      <c r="AY314" s="158">
        <v>0</v>
      </c>
      <c r="AZ314" s="158">
        <v>0</v>
      </c>
      <c r="BA314" s="158">
        <v>0</v>
      </c>
      <c r="BB314" s="158">
        <v>0</v>
      </c>
      <c r="BC314" s="158">
        <v>0</v>
      </c>
      <c r="BD314" s="158">
        <v>0</v>
      </c>
      <c r="BE314" s="158">
        <v>0</v>
      </c>
      <c r="BF314" s="160">
        <v>0</v>
      </c>
      <c r="BG314" s="383">
        <v>2023</v>
      </c>
      <c r="BH314" s="383">
        <v>1</v>
      </c>
      <c r="BI314" s="383">
        <v>19</v>
      </c>
      <c r="BK314" s="147" t="str">
        <f>IF(R314=SUM(Z314,AH314,AP314,AX314,BF314),"○","×")</f>
        <v>○</v>
      </c>
    </row>
    <row r="315" spans="1:63" x14ac:dyDescent="0.2">
      <c r="A315" s="428">
        <v>1511</v>
      </c>
      <c r="B315" s="429"/>
      <c r="C315" s="430"/>
      <c r="D315" s="429"/>
      <c r="E315" s="430"/>
      <c r="F315" s="429"/>
      <c r="G315" s="429"/>
      <c r="H315" s="430"/>
      <c r="I315" s="429"/>
      <c r="J315" s="429"/>
      <c r="K315" s="429"/>
      <c r="L315" s="383"/>
      <c r="M315" s="383" t="s">
        <v>526</v>
      </c>
      <c r="N315" s="383" t="s">
        <v>329</v>
      </c>
      <c r="O315" s="383" t="s">
        <v>506</v>
      </c>
      <c r="P315" s="383" t="s">
        <v>970</v>
      </c>
      <c r="Q315" s="383"/>
      <c r="R315" s="431">
        <v>439000</v>
      </c>
      <c r="S315" s="158">
        <v>0</v>
      </c>
      <c r="T315" s="158">
        <v>0</v>
      </c>
      <c r="U315" s="158">
        <v>0</v>
      </c>
      <c r="V315" s="158">
        <v>0</v>
      </c>
      <c r="W315" s="158">
        <v>0</v>
      </c>
      <c r="X315" s="158">
        <v>0</v>
      </c>
      <c r="Y315" s="158">
        <v>0</v>
      </c>
      <c r="Z315" s="158">
        <v>0</v>
      </c>
      <c r="AA315" s="432">
        <v>0</v>
      </c>
      <c r="AB315" s="432">
        <v>0</v>
      </c>
      <c r="AC315" s="432">
        <v>0</v>
      </c>
      <c r="AD315" s="432">
        <v>0</v>
      </c>
      <c r="AE315" s="432">
        <v>0</v>
      </c>
      <c r="AF315" s="432">
        <v>0</v>
      </c>
      <c r="AG315" s="432">
        <v>0</v>
      </c>
      <c r="AH315" s="432">
        <v>0</v>
      </c>
      <c r="AI315" s="158">
        <v>439042</v>
      </c>
      <c r="AJ315" s="158">
        <v>0</v>
      </c>
      <c r="AK315" s="158">
        <v>439042</v>
      </c>
      <c r="AL315" s="158">
        <v>439042</v>
      </c>
      <c r="AM315" s="158">
        <v>2592000</v>
      </c>
      <c r="AN315" s="158">
        <v>439042</v>
      </c>
      <c r="AO315" s="158">
        <v>439042</v>
      </c>
      <c r="AP315" s="158">
        <v>439000</v>
      </c>
      <c r="AQ315" s="432">
        <v>0</v>
      </c>
      <c r="AR315" s="432">
        <v>0</v>
      </c>
      <c r="AS315" s="432">
        <v>0</v>
      </c>
      <c r="AT315" s="432">
        <v>0</v>
      </c>
      <c r="AU315" s="432">
        <v>0</v>
      </c>
      <c r="AV315" s="432">
        <v>0</v>
      </c>
      <c r="AW315" s="432">
        <v>0</v>
      </c>
      <c r="AX315" s="432">
        <v>0</v>
      </c>
      <c r="AY315" s="158">
        <v>0</v>
      </c>
      <c r="AZ315" s="158">
        <v>0</v>
      </c>
      <c r="BA315" s="158">
        <v>0</v>
      </c>
      <c r="BB315" s="158">
        <v>0</v>
      </c>
      <c r="BC315" s="158">
        <v>0</v>
      </c>
      <c r="BD315" s="158">
        <v>0</v>
      </c>
      <c r="BE315" s="158">
        <v>0</v>
      </c>
      <c r="BF315" s="160">
        <v>0</v>
      </c>
      <c r="BG315" s="383">
        <v>2023</v>
      </c>
      <c r="BH315" s="383">
        <v>1</v>
      </c>
      <c r="BI315" s="383">
        <v>19</v>
      </c>
      <c r="BK315" s="147" t="str">
        <f>IF(R315=SUM(Z315,AH315,AP315,AX315,BF315),"○","×")</f>
        <v>○</v>
      </c>
    </row>
    <row r="316" spans="1:63" x14ac:dyDescent="0.2">
      <c r="A316" s="428">
        <v>1512</v>
      </c>
      <c r="B316" s="429"/>
      <c r="C316" s="430"/>
      <c r="D316" s="429"/>
      <c r="E316" s="430"/>
      <c r="F316" s="429"/>
      <c r="G316" s="429"/>
      <c r="H316" s="430"/>
      <c r="I316" s="429"/>
      <c r="J316" s="429"/>
      <c r="K316" s="429"/>
      <c r="L316" s="383"/>
      <c r="M316" s="383" t="s">
        <v>509</v>
      </c>
      <c r="N316" s="383" t="s">
        <v>367</v>
      </c>
      <c r="O316" s="383" t="s">
        <v>324</v>
      </c>
      <c r="P316" s="383" t="s">
        <v>970</v>
      </c>
      <c r="Q316" s="383"/>
      <c r="R316" s="431">
        <v>554000</v>
      </c>
      <c r="S316" s="158">
        <v>0</v>
      </c>
      <c r="T316" s="158">
        <v>0</v>
      </c>
      <c r="U316" s="158">
        <v>0</v>
      </c>
      <c r="V316" s="158">
        <v>0</v>
      </c>
      <c r="W316" s="158">
        <v>0</v>
      </c>
      <c r="X316" s="158">
        <v>0</v>
      </c>
      <c r="Y316" s="158">
        <v>0</v>
      </c>
      <c r="Z316" s="158">
        <v>0</v>
      </c>
      <c r="AA316" s="432">
        <v>0</v>
      </c>
      <c r="AB316" s="432">
        <v>0</v>
      </c>
      <c r="AC316" s="432">
        <v>0</v>
      </c>
      <c r="AD316" s="432">
        <v>0</v>
      </c>
      <c r="AE316" s="432">
        <v>0</v>
      </c>
      <c r="AF316" s="432">
        <v>0</v>
      </c>
      <c r="AG316" s="432">
        <v>0</v>
      </c>
      <c r="AH316" s="432">
        <v>0</v>
      </c>
      <c r="AI316" s="158">
        <v>554155</v>
      </c>
      <c r="AJ316" s="158">
        <v>0</v>
      </c>
      <c r="AK316" s="158">
        <v>554155</v>
      </c>
      <c r="AL316" s="158">
        <v>554155</v>
      </c>
      <c r="AM316" s="158">
        <v>4665600</v>
      </c>
      <c r="AN316" s="158">
        <v>554155</v>
      </c>
      <c r="AO316" s="158">
        <v>554155</v>
      </c>
      <c r="AP316" s="158">
        <v>554000</v>
      </c>
      <c r="AQ316" s="432">
        <v>0</v>
      </c>
      <c r="AR316" s="432">
        <v>0</v>
      </c>
      <c r="AS316" s="432">
        <v>0</v>
      </c>
      <c r="AT316" s="432">
        <v>0</v>
      </c>
      <c r="AU316" s="432">
        <v>0</v>
      </c>
      <c r="AV316" s="432">
        <v>0</v>
      </c>
      <c r="AW316" s="432">
        <v>0</v>
      </c>
      <c r="AX316" s="432">
        <v>0</v>
      </c>
      <c r="AY316" s="158">
        <v>0</v>
      </c>
      <c r="AZ316" s="158">
        <v>0</v>
      </c>
      <c r="BA316" s="158">
        <v>0</v>
      </c>
      <c r="BB316" s="158">
        <v>0</v>
      </c>
      <c r="BC316" s="158">
        <v>0</v>
      </c>
      <c r="BD316" s="158">
        <v>0</v>
      </c>
      <c r="BE316" s="158">
        <v>0</v>
      </c>
      <c r="BF316" s="160">
        <v>0</v>
      </c>
      <c r="BG316" s="383">
        <v>2023</v>
      </c>
      <c r="BH316" s="383">
        <v>1</v>
      </c>
      <c r="BI316" s="383">
        <v>19</v>
      </c>
      <c r="BK316" s="147" t="str">
        <f>IF(R316=SUM(Z316,AH316,AP316,AX316,BF316),"○","×")</f>
        <v>○</v>
      </c>
    </row>
    <row r="317" spans="1:63" x14ac:dyDescent="0.2">
      <c r="A317" s="428">
        <v>1513</v>
      </c>
      <c r="B317" s="429"/>
      <c r="C317" s="430"/>
      <c r="D317" s="429"/>
      <c r="E317" s="430"/>
      <c r="F317" s="429"/>
      <c r="G317" s="429"/>
      <c r="H317" s="430"/>
      <c r="I317" s="429"/>
      <c r="J317" s="429"/>
      <c r="K317" s="429"/>
      <c r="L317" s="383"/>
      <c r="M317" s="383" t="s">
        <v>359</v>
      </c>
      <c r="N317" s="383" t="s">
        <v>360</v>
      </c>
      <c r="O317" s="383" t="s">
        <v>361</v>
      </c>
      <c r="P317" s="383" t="s">
        <v>970</v>
      </c>
      <c r="Q317" s="383"/>
      <c r="R317" s="431">
        <v>167000</v>
      </c>
      <c r="S317" s="158">
        <v>0</v>
      </c>
      <c r="T317" s="158">
        <v>0</v>
      </c>
      <c r="U317" s="158">
        <v>0</v>
      </c>
      <c r="V317" s="158">
        <v>0</v>
      </c>
      <c r="W317" s="158">
        <v>0</v>
      </c>
      <c r="X317" s="158">
        <v>0</v>
      </c>
      <c r="Y317" s="158">
        <v>0</v>
      </c>
      <c r="Z317" s="158">
        <v>0</v>
      </c>
      <c r="AA317" s="432">
        <v>0</v>
      </c>
      <c r="AB317" s="432">
        <v>0</v>
      </c>
      <c r="AC317" s="432">
        <v>0</v>
      </c>
      <c r="AD317" s="432">
        <v>0</v>
      </c>
      <c r="AE317" s="432">
        <v>0</v>
      </c>
      <c r="AF317" s="432">
        <v>0</v>
      </c>
      <c r="AG317" s="432">
        <v>0</v>
      </c>
      <c r="AH317" s="432">
        <v>0</v>
      </c>
      <c r="AI317" s="158">
        <v>167285</v>
      </c>
      <c r="AJ317" s="158">
        <v>0</v>
      </c>
      <c r="AK317" s="158">
        <v>167285</v>
      </c>
      <c r="AL317" s="158">
        <v>167285</v>
      </c>
      <c r="AM317" s="158">
        <v>2102400</v>
      </c>
      <c r="AN317" s="158">
        <v>167285</v>
      </c>
      <c r="AO317" s="158">
        <v>167285</v>
      </c>
      <c r="AP317" s="158">
        <v>167000</v>
      </c>
      <c r="AQ317" s="432">
        <v>0</v>
      </c>
      <c r="AR317" s="432">
        <v>0</v>
      </c>
      <c r="AS317" s="432">
        <v>0</v>
      </c>
      <c r="AT317" s="432">
        <v>0</v>
      </c>
      <c r="AU317" s="432">
        <v>0</v>
      </c>
      <c r="AV317" s="432">
        <v>0</v>
      </c>
      <c r="AW317" s="432">
        <v>0</v>
      </c>
      <c r="AX317" s="432">
        <v>0</v>
      </c>
      <c r="AY317" s="158">
        <v>0</v>
      </c>
      <c r="AZ317" s="158">
        <v>0</v>
      </c>
      <c r="BA317" s="158">
        <v>0</v>
      </c>
      <c r="BB317" s="158">
        <v>0</v>
      </c>
      <c r="BC317" s="158">
        <v>0</v>
      </c>
      <c r="BD317" s="158">
        <v>0</v>
      </c>
      <c r="BE317" s="158">
        <v>0</v>
      </c>
      <c r="BF317" s="160">
        <v>0</v>
      </c>
      <c r="BG317" s="383">
        <v>2023</v>
      </c>
      <c r="BH317" s="383">
        <v>1</v>
      </c>
      <c r="BI317" s="383">
        <v>19</v>
      </c>
      <c r="BK317" s="147" t="str">
        <f>IF(R317=SUM(Z317,AH317,AP317,AX317,BF317),"○","×")</f>
        <v>○</v>
      </c>
    </row>
    <row r="318" spans="1:63" x14ac:dyDescent="0.2">
      <c r="A318" s="428">
        <v>1514</v>
      </c>
      <c r="B318" s="429"/>
      <c r="C318" s="430"/>
      <c r="D318" s="429"/>
      <c r="E318" s="430"/>
      <c r="F318" s="429"/>
      <c r="G318" s="429"/>
      <c r="H318" s="430"/>
      <c r="I318" s="429"/>
      <c r="J318" s="429"/>
      <c r="K318" s="429"/>
      <c r="L318" s="383"/>
      <c r="M318" s="383" t="s">
        <v>760</v>
      </c>
      <c r="N318" s="383" t="s">
        <v>353</v>
      </c>
      <c r="O318" s="383" t="s">
        <v>506</v>
      </c>
      <c r="P318" s="383" t="s">
        <v>970</v>
      </c>
      <c r="Q318" s="383"/>
      <c r="R318" s="431">
        <v>366000</v>
      </c>
      <c r="S318" s="158">
        <v>0</v>
      </c>
      <c r="T318" s="158">
        <v>0</v>
      </c>
      <c r="U318" s="158">
        <v>0</v>
      </c>
      <c r="V318" s="158">
        <v>0</v>
      </c>
      <c r="W318" s="158">
        <v>0</v>
      </c>
      <c r="X318" s="158">
        <v>0</v>
      </c>
      <c r="Y318" s="158">
        <v>0</v>
      </c>
      <c r="Z318" s="158">
        <v>0</v>
      </c>
      <c r="AA318" s="432">
        <v>0</v>
      </c>
      <c r="AB318" s="432">
        <v>0</v>
      </c>
      <c r="AC318" s="432">
        <v>0</v>
      </c>
      <c r="AD318" s="432">
        <v>0</v>
      </c>
      <c r="AE318" s="432">
        <v>0</v>
      </c>
      <c r="AF318" s="432">
        <v>0</v>
      </c>
      <c r="AG318" s="432">
        <v>0</v>
      </c>
      <c r="AH318" s="432">
        <v>0</v>
      </c>
      <c r="AI318" s="158">
        <v>366813</v>
      </c>
      <c r="AJ318" s="158">
        <v>0</v>
      </c>
      <c r="AK318" s="158">
        <v>366813</v>
      </c>
      <c r="AL318" s="158">
        <v>366813</v>
      </c>
      <c r="AM318" s="158">
        <v>2073600</v>
      </c>
      <c r="AN318" s="158">
        <v>366813</v>
      </c>
      <c r="AO318" s="158">
        <v>366813</v>
      </c>
      <c r="AP318" s="158">
        <v>366000</v>
      </c>
      <c r="AQ318" s="432">
        <v>0</v>
      </c>
      <c r="AR318" s="432">
        <v>0</v>
      </c>
      <c r="AS318" s="432">
        <v>0</v>
      </c>
      <c r="AT318" s="432">
        <v>0</v>
      </c>
      <c r="AU318" s="432">
        <v>0</v>
      </c>
      <c r="AV318" s="432">
        <v>0</v>
      </c>
      <c r="AW318" s="432">
        <v>0</v>
      </c>
      <c r="AX318" s="432">
        <v>0</v>
      </c>
      <c r="AY318" s="158">
        <v>0</v>
      </c>
      <c r="AZ318" s="158">
        <v>0</v>
      </c>
      <c r="BA318" s="158">
        <v>0</v>
      </c>
      <c r="BB318" s="158">
        <v>0</v>
      </c>
      <c r="BC318" s="158">
        <v>0</v>
      </c>
      <c r="BD318" s="158">
        <v>0</v>
      </c>
      <c r="BE318" s="158">
        <v>0</v>
      </c>
      <c r="BF318" s="160">
        <v>0</v>
      </c>
      <c r="BG318" s="383">
        <v>2023</v>
      </c>
      <c r="BH318" s="383">
        <v>1</v>
      </c>
      <c r="BI318" s="383">
        <v>19</v>
      </c>
      <c r="BK318" s="147" t="str">
        <f>IF(R318=SUM(Z318,AH318,AP318,AX318,BF318),"○","×")</f>
        <v>○</v>
      </c>
    </row>
    <row r="319" spans="1:63" x14ac:dyDescent="0.2">
      <c r="A319" s="428">
        <v>1515</v>
      </c>
      <c r="B319" s="429"/>
      <c r="C319" s="430"/>
      <c r="D319" s="429"/>
      <c r="E319" s="430"/>
      <c r="F319" s="429"/>
      <c r="G319" s="429"/>
      <c r="H319" s="430"/>
      <c r="I319" s="429"/>
      <c r="J319" s="429"/>
      <c r="K319" s="429"/>
      <c r="L319" s="383"/>
      <c r="M319" s="383" t="s">
        <v>328</v>
      </c>
      <c r="N319" s="383" t="s">
        <v>329</v>
      </c>
      <c r="O319" s="383" t="s">
        <v>330</v>
      </c>
      <c r="P319" s="383" t="s">
        <v>970</v>
      </c>
      <c r="Q319" s="383"/>
      <c r="R319" s="431">
        <v>896000</v>
      </c>
      <c r="S319" s="158">
        <v>0</v>
      </c>
      <c r="T319" s="158">
        <v>0</v>
      </c>
      <c r="U319" s="158">
        <v>0</v>
      </c>
      <c r="V319" s="158">
        <v>0</v>
      </c>
      <c r="W319" s="158">
        <v>0</v>
      </c>
      <c r="X319" s="158">
        <v>0</v>
      </c>
      <c r="Y319" s="158">
        <v>0</v>
      </c>
      <c r="Z319" s="158">
        <v>0</v>
      </c>
      <c r="AA319" s="432">
        <v>0</v>
      </c>
      <c r="AB319" s="432">
        <v>0</v>
      </c>
      <c r="AC319" s="432">
        <v>0</v>
      </c>
      <c r="AD319" s="432">
        <v>0</v>
      </c>
      <c r="AE319" s="432">
        <v>0</v>
      </c>
      <c r="AF319" s="432">
        <v>0</v>
      </c>
      <c r="AG319" s="432">
        <v>0</v>
      </c>
      <c r="AH319" s="432">
        <v>0</v>
      </c>
      <c r="AI319" s="158">
        <v>896094</v>
      </c>
      <c r="AJ319" s="158">
        <v>0</v>
      </c>
      <c r="AK319" s="158">
        <v>896094</v>
      </c>
      <c r="AL319" s="158">
        <v>896094</v>
      </c>
      <c r="AM319" s="158">
        <v>8812800</v>
      </c>
      <c r="AN319" s="158">
        <v>896094</v>
      </c>
      <c r="AO319" s="158">
        <v>896094</v>
      </c>
      <c r="AP319" s="158">
        <v>896000</v>
      </c>
      <c r="AQ319" s="432">
        <v>0</v>
      </c>
      <c r="AR319" s="432">
        <v>0</v>
      </c>
      <c r="AS319" s="432">
        <v>0</v>
      </c>
      <c r="AT319" s="432">
        <v>0</v>
      </c>
      <c r="AU319" s="432">
        <v>0</v>
      </c>
      <c r="AV319" s="432">
        <v>0</v>
      </c>
      <c r="AW319" s="432">
        <v>0</v>
      </c>
      <c r="AX319" s="432">
        <v>0</v>
      </c>
      <c r="AY319" s="158">
        <v>0</v>
      </c>
      <c r="AZ319" s="158">
        <v>0</v>
      </c>
      <c r="BA319" s="158">
        <v>0</v>
      </c>
      <c r="BB319" s="158">
        <v>0</v>
      </c>
      <c r="BC319" s="158">
        <v>0</v>
      </c>
      <c r="BD319" s="158">
        <v>0</v>
      </c>
      <c r="BE319" s="158">
        <v>0</v>
      </c>
      <c r="BF319" s="160">
        <v>0</v>
      </c>
      <c r="BG319" s="383">
        <v>2023</v>
      </c>
      <c r="BH319" s="383">
        <v>1</v>
      </c>
      <c r="BI319" s="383">
        <v>19</v>
      </c>
      <c r="BK319" s="147" t="str">
        <f>IF(R319=SUM(Z319,AH319,AP319,AX319,BF319),"○","×")</f>
        <v>○</v>
      </c>
    </row>
    <row r="320" spans="1:63" x14ac:dyDescent="0.2">
      <c r="A320" s="428">
        <v>1516</v>
      </c>
      <c r="B320" s="429"/>
      <c r="C320" s="430"/>
      <c r="D320" s="429"/>
      <c r="E320" s="430"/>
      <c r="F320" s="429"/>
      <c r="G320" s="429"/>
      <c r="H320" s="430"/>
      <c r="I320" s="429"/>
      <c r="J320" s="429"/>
      <c r="K320" s="429"/>
      <c r="L320" s="383"/>
      <c r="M320" s="383" t="s">
        <v>761</v>
      </c>
      <c r="N320" s="383" t="s">
        <v>350</v>
      </c>
      <c r="O320" s="383" t="s">
        <v>617</v>
      </c>
      <c r="P320" s="383" t="s">
        <v>970</v>
      </c>
      <c r="Q320" s="383"/>
      <c r="R320" s="431">
        <v>346000</v>
      </c>
      <c r="S320" s="158">
        <v>0</v>
      </c>
      <c r="T320" s="158">
        <v>0</v>
      </c>
      <c r="U320" s="158">
        <v>0</v>
      </c>
      <c r="V320" s="158">
        <v>0</v>
      </c>
      <c r="W320" s="158">
        <v>0</v>
      </c>
      <c r="X320" s="158">
        <v>0</v>
      </c>
      <c r="Y320" s="158">
        <v>0</v>
      </c>
      <c r="Z320" s="158">
        <v>0</v>
      </c>
      <c r="AA320" s="432">
        <v>0</v>
      </c>
      <c r="AB320" s="432">
        <v>0</v>
      </c>
      <c r="AC320" s="432">
        <v>0</v>
      </c>
      <c r="AD320" s="432">
        <v>0</v>
      </c>
      <c r="AE320" s="432">
        <v>0</v>
      </c>
      <c r="AF320" s="432">
        <v>0</v>
      </c>
      <c r="AG320" s="432">
        <v>0</v>
      </c>
      <c r="AH320" s="432">
        <v>0</v>
      </c>
      <c r="AI320" s="158">
        <v>346500</v>
      </c>
      <c r="AJ320" s="158">
        <v>0</v>
      </c>
      <c r="AK320" s="158">
        <v>346500</v>
      </c>
      <c r="AL320" s="158">
        <v>346500</v>
      </c>
      <c r="AM320" s="158">
        <v>1965600</v>
      </c>
      <c r="AN320" s="158">
        <v>346500</v>
      </c>
      <c r="AO320" s="158">
        <v>346500</v>
      </c>
      <c r="AP320" s="158">
        <v>346000</v>
      </c>
      <c r="AQ320" s="432">
        <v>0</v>
      </c>
      <c r="AR320" s="432">
        <v>0</v>
      </c>
      <c r="AS320" s="432">
        <v>0</v>
      </c>
      <c r="AT320" s="432">
        <v>0</v>
      </c>
      <c r="AU320" s="432">
        <v>0</v>
      </c>
      <c r="AV320" s="432">
        <v>0</v>
      </c>
      <c r="AW320" s="432">
        <v>0</v>
      </c>
      <c r="AX320" s="432">
        <v>0</v>
      </c>
      <c r="AY320" s="158">
        <v>0</v>
      </c>
      <c r="AZ320" s="158">
        <v>0</v>
      </c>
      <c r="BA320" s="158">
        <v>0</v>
      </c>
      <c r="BB320" s="158">
        <v>0</v>
      </c>
      <c r="BC320" s="158">
        <v>0</v>
      </c>
      <c r="BD320" s="158">
        <v>0</v>
      </c>
      <c r="BE320" s="158">
        <v>0</v>
      </c>
      <c r="BF320" s="160">
        <v>0</v>
      </c>
      <c r="BG320" s="383">
        <v>2023</v>
      </c>
      <c r="BH320" s="383">
        <v>1</v>
      </c>
      <c r="BI320" s="383">
        <v>19</v>
      </c>
      <c r="BK320" s="147" t="str">
        <f>IF(R320=SUM(Z320,AH320,AP320,AX320,BF320),"○","×")</f>
        <v>○</v>
      </c>
    </row>
    <row r="321" spans="1:63" x14ac:dyDescent="0.2">
      <c r="A321" s="428">
        <v>1517</v>
      </c>
      <c r="B321" s="429"/>
      <c r="C321" s="430"/>
      <c r="D321" s="429"/>
      <c r="E321" s="430"/>
      <c r="F321" s="429"/>
      <c r="G321" s="429"/>
      <c r="H321" s="430"/>
      <c r="I321" s="429"/>
      <c r="J321" s="429"/>
      <c r="K321" s="429"/>
      <c r="L321" s="383"/>
      <c r="M321" s="383" t="s">
        <v>762</v>
      </c>
      <c r="N321" s="383" t="s">
        <v>323</v>
      </c>
      <c r="O321" s="383" t="s">
        <v>540</v>
      </c>
      <c r="P321" s="383" t="s">
        <v>970</v>
      </c>
      <c r="Q321" s="383"/>
      <c r="R321" s="431">
        <v>369000</v>
      </c>
      <c r="S321" s="158">
        <v>0</v>
      </c>
      <c r="T321" s="158">
        <v>0</v>
      </c>
      <c r="U321" s="158">
        <v>0</v>
      </c>
      <c r="V321" s="158">
        <v>0</v>
      </c>
      <c r="W321" s="158">
        <v>0</v>
      </c>
      <c r="X321" s="158">
        <v>0</v>
      </c>
      <c r="Y321" s="158">
        <v>0</v>
      </c>
      <c r="Z321" s="158">
        <v>0</v>
      </c>
      <c r="AA321" s="432">
        <v>0</v>
      </c>
      <c r="AB321" s="432">
        <v>0</v>
      </c>
      <c r="AC321" s="432">
        <v>0</v>
      </c>
      <c r="AD321" s="432">
        <v>0</v>
      </c>
      <c r="AE321" s="432">
        <v>0</v>
      </c>
      <c r="AF321" s="432">
        <v>0</v>
      </c>
      <c r="AG321" s="432">
        <v>0</v>
      </c>
      <c r="AH321" s="432">
        <v>0</v>
      </c>
      <c r="AI321" s="158">
        <v>369050</v>
      </c>
      <c r="AJ321" s="158">
        <v>0</v>
      </c>
      <c r="AK321" s="158">
        <v>369050</v>
      </c>
      <c r="AL321" s="158">
        <v>369050</v>
      </c>
      <c r="AM321" s="158">
        <v>3024000</v>
      </c>
      <c r="AN321" s="158">
        <v>369050</v>
      </c>
      <c r="AO321" s="158">
        <v>369050</v>
      </c>
      <c r="AP321" s="158">
        <v>369000</v>
      </c>
      <c r="AQ321" s="432">
        <v>0</v>
      </c>
      <c r="AR321" s="432">
        <v>0</v>
      </c>
      <c r="AS321" s="432">
        <v>0</v>
      </c>
      <c r="AT321" s="432">
        <v>0</v>
      </c>
      <c r="AU321" s="432">
        <v>0</v>
      </c>
      <c r="AV321" s="432">
        <v>0</v>
      </c>
      <c r="AW321" s="432">
        <v>0</v>
      </c>
      <c r="AX321" s="432">
        <v>0</v>
      </c>
      <c r="AY321" s="158">
        <v>0</v>
      </c>
      <c r="AZ321" s="158">
        <v>0</v>
      </c>
      <c r="BA321" s="158">
        <v>0</v>
      </c>
      <c r="BB321" s="158">
        <v>0</v>
      </c>
      <c r="BC321" s="158">
        <v>0</v>
      </c>
      <c r="BD321" s="158">
        <v>0</v>
      </c>
      <c r="BE321" s="158">
        <v>0</v>
      </c>
      <c r="BF321" s="160">
        <v>0</v>
      </c>
      <c r="BG321" s="383">
        <v>2023</v>
      </c>
      <c r="BH321" s="383">
        <v>1</v>
      </c>
      <c r="BI321" s="383">
        <v>19</v>
      </c>
      <c r="BK321" s="147" t="str">
        <f>IF(R321=SUM(Z321,AH321,AP321,AX321,BF321),"○","×")</f>
        <v>○</v>
      </c>
    </row>
    <row r="322" spans="1:63" x14ac:dyDescent="0.2">
      <c r="A322" s="428">
        <v>1518</v>
      </c>
      <c r="B322" s="429"/>
      <c r="C322" s="430"/>
      <c r="D322" s="429"/>
      <c r="E322" s="430"/>
      <c r="F322" s="429"/>
      <c r="G322" s="429"/>
      <c r="H322" s="430"/>
      <c r="I322" s="429"/>
      <c r="J322" s="429"/>
      <c r="K322" s="429"/>
      <c r="L322" s="383"/>
      <c r="M322" s="383" t="s">
        <v>763</v>
      </c>
      <c r="N322" s="383" t="s">
        <v>384</v>
      </c>
      <c r="O322" s="383" t="s">
        <v>481</v>
      </c>
      <c r="P322" s="383" t="s">
        <v>970</v>
      </c>
      <c r="Q322" s="383"/>
      <c r="R322" s="431">
        <v>1536000</v>
      </c>
      <c r="S322" s="158">
        <v>0</v>
      </c>
      <c r="T322" s="158">
        <v>0</v>
      </c>
      <c r="U322" s="158">
        <v>0</v>
      </c>
      <c r="V322" s="158">
        <v>0</v>
      </c>
      <c r="W322" s="158">
        <v>0</v>
      </c>
      <c r="X322" s="158">
        <v>0</v>
      </c>
      <c r="Y322" s="158">
        <v>0</v>
      </c>
      <c r="Z322" s="158">
        <v>0</v>
      </c>
      <c r="AA322" s="432">
        <v>0</v>
      </c>
      <c r="AB322" s="432">
        <v>0</v>
      </c>
      <c r="AC322" s="432">
        <v>0</v>
      </c>
      <c r="AD322" s="432">
        <v>0</v>
      </c>
      <c r="AE322" s="432">
        <v>0</v>
      </c>
      <c r="AF322" s="432">
        <v>0</v>
      </c>
      <c r="AG322" s="432">
        <v>0</v>
      </c>
      <c r="AH322" s="432">
        <v>0</v>
      </c>
      <c r="AI322" s="158">
        <v>1536965</v>
      </c>
      <c r="AJ322" s="158">
        <v>0</v>
      </c>
      <c r="AK322" s="158">
        <v>1536965</v>
      </c>
      <c r="AL322" s="158">
        <v>1536965</v>
      </c>
      <c r="AM322" s="158">
        <v>5148000</v>
      </c>
      <c r="AN322" s="158">
        <v>1536965</v>
      </c>
      <c r="AO322" s="158">
        <v>1536965</v>
      </c>
      <c r="AP322" s="158">
        <v>1536000</v>
      </c>
      <c r="AQ322" s="432">
        <v>0</v>
      </c>
      <c r="AR322" s="432">
        <v>0</v>
      </c>
      <c r="AS322" s="432">
        <v>0</v>
      </c>
      <c r="AT322" s="432">
        <v>0</v>
      </c>
      <c r="AU322" s="432">
        <v>0</v>
      </c>
      <c r="AV322" s="432">
        <v>0</v>
      </c>
      <c r="AW322" s="432">
        <v>0</v>
      </c>
      <c r="AX322" s="432">
        <v>0</v>
      </c>
      <c r="AY322" s="158">
        <v>0</v>
      </c>
      <c r="AZ322" s="158">
        <v>0</v>
      </c>
      <c r="BA322" s="158">
        <v>0</v>
      </c>
      <c r="BB322" s="158">
        <v>0</v>
      </c>
      <c r="BC322" s="158">
        <v>0</v>
      </c>
      <c r="BD322" s="158">
        <v>0</v>
      </c>
      <c r="BE322" s="158">
        <v>0</v>
      </c>
      <c r="BF322" s="160">
        <v>0</v>
      </c>
      <c r="BG322" s="383">
        <v>2023</v>
      </c>
      <c r="BH322" s="383">
        <v>1</v>
      </c>
      <c r="BI322" s="383">
        <v>19</v>
      </c>
      <c r="BK322" s="147" t="str">
        <f>IF(R322=SUM(Z322,AH322,AP322,AX322,BF322),"○","×")</f>
        <v>○</v>
      </c>
    </row>
    <row r="323" spans="1:63" x14ac:dyDescent="0.2">
      <c r="A323" s="428">
        <v>1519</v>
      </c>
      <c r="B323" s="429"/>
      <c r="C323" s="430"/>
      <c r="D323" s="429"/>
      <c r="E323" s="430"/>
      <c r="F323" s="429"/>
      <c r="G323" s="429"/>
      <c r="H323" s="430"/>
      <c r="I323" s="429"/>
      <c r="J323" s="429"/>
      <c r="K323" s="429"/>
      <c r="L323" s="383"/>
      <c r="M323" s="383" t="s">
        <v>764</v>
      </c>
      <c r="N323" s="383" t="s">
        <v>340</v>
      </c>
      <c r="O323" s="383" t="s">
        <v>765</v>
      </c>
      <c r="P323" s="383" t="s">
        <v>970</v>
      </c>
      <c r="Q323" s="383"/>
      <c r="R323" s="431">
        <v>50000</v>
      </c>
      <c r="S323" s="158">
        <v>0</v>
      </c>
      <c r="T323" s="158">
        <v>0</v>
      </c>
      <c r="U323" s="158">
        <v>0</v>
      </c>
      <c r="V323" s="158">
        <v>0</v>
      </c>
      <c r="W323" s="158">
        <v>0</v>
      </c>
      <c r="X323" s="158">
        <v>0</v>
      </c>
      <c r="Y323" s="158">
        <v>0</v>
      </c>
      <c r="Z323" s="158">
        <v>0</v>
      </c>
      <c r="AA323" s="432">
        <v>0</v>
      </c>
      <c r="AB323" s="432">
        <v>0</v>
      </c>
      <c r="AC323" s="432">
        <v>0</v>
      </c>
      <c r="AD323" s="432">
        <v>0</v>
      </c>
      <c r="AE323" s="432">
        <v>0</v>
      </c>
      <c r="AF323" s="432">
        <v>0</v>
      </c>
      <c r="AG323" s="432">
        <v>0</v>
      </c>
      <c r="AH323" s="432">
        <v>0</v>
      </c>
      <c r="AI323" s="158">
        <v>50674</v>
      </c>
      <c r="AJ323" s="158">
        <v>0</v>
      </c>
      <c r="AK323" s="158">
        <v>50674</v>
      </c>
      <c r="AL323" s="158">
        <v>50674</v>
      </c>
      <c r="AM323" s="158">
        <v>936000</v>
      </c>
      <c r="AN323" s="158">
        <v>50674</v>
      </c>
      <c r="AO323" s="158">
        <v>50674</v>
      </c>
      <c r="AP323" s="158">
        <v>50000</v>
      </c>
      <c r="AQ323" s="432">
        <v>0</v>
      </c>
      <c r="AR323" s="432">
        <v>0</v>
      </c>
      <c r="AS323" s="432">
        <v>0</v>
      </c>
      <c r="AT323" s="432">
        <v>0</v>
      </c>
      <c r="AU323" s="432">
        <v>0</v>
      </c>
      <c r="AV323" s="432">
        <v>0</v>
      </c>
      <c r="AW323" s="432">
        <v>0</v>
      </c>
      <c r="AX323" s="432">
        <v>0</v>
      </c>
      <c r="AY323" s="158">
        <v>0</v>
      </c>
      <c r="AZ323" s="158">
        <v>0</v>
      </c>
      <c r="BA323" s="158">
        <v>0</v>
      </c>
      <c r="BB323" s="158">
        <v>0</v>
      </c>
      <c r="BC323" s="158">
        <v>0</v>
      </c>
      <c r="BD323" s="158">
        <v>0</v>
      </c>
      <c r="BE323" s="158">
        <v>0</v>
      </c>
      <c r="BF323" s="160">
        <v>0</v>
      </c>
      <c r="BG323" s="383">
        <v>2023</v>
      </c>
      <c r="BH323" s="383">
        <v>1</v>
      </c>
      <c r="BI323" s="383">
        <v>19</v>
      </c>
      <c r="BK323" s="147" t="str">
        <f>IF(R323=SUM(Z323,AH323,AP323,AX323,BF323),"○","×")</f>
        <v>○</v>
      </c>
    </row>
    <row r="324" spans="1:63" x14ac:dyDescent="0.2">
      <c r="A324" s="428">
        <v>1520</v>
      </c>
      <c r="B324" s="429"/>
      <c r="C324" s="430"/>
      <c r="D324" s="429"/>
      <c r="E324" s="430"/>
      <c r="F324" s="429"/>
      <c r="G324" s="429"/>
      <c r="H324" s="430"/>
      <c r="I324" s="429"/>
      <c r="J324" s="429"/>
      <c r="K324" s="429"/>
      <c r="L324" s="383"/>
      <c r="M324" s="383" t="s">
        <v>766</v>
      </c>
      <c r="N324" s="383" t="s">
        <v>402</v>
      </c>
      <c r="O324" s="383" t="s">
        <v>767</v>
      </c>
      <c r="P324" s="383" t="s">
        <v>970</v>
      </c>
      <c r="Q324" s="383"/>
      <c r="R324" s="431">
        <v>305000</v>
      </c>
      <c r="S324" s="158">
        <v>0</v>
      </c>
      <c r="T324" s="158">
        <v>0</v>
      </c>
      <c r="U324" s="158">
        <v>0</v>
      </c>
      <c r="V324" s="158">
        <v>0</v>
      </c>
      <c r="W324" s="158">
        <v>0</v>
      </c>
      <c r="X324" s="158">
        <v>0</v>
      </c>
      <c r="Y324" s="158">
        <v>0</v>
      </c>
      <c r="Z324" s="158">
        <v>0</v>
      </c>
      <c r="AA324" s="432">
        <v>0</v>
      </c>
      <c r="AB324" s="432">
        <v>0</v>
      </c>
      <c r="AC324" s="432">
        <v>0</v>
      </c>
      <c r="AD324" s="432">
        <v>0</v>
      </c>
      <c r="AE324" s="432">
        <v>0</v>
      </c>
      <c r="AF324" s="432">
        <v>0</v>
      </c>
      <c r="AG324" s="432">
        <v>0</v>
      </c>
      <c r="AH324" s="432">
        <v>0</v>
      </c>
      <c r="AI324" s="158">
        <v>305710</v>
      </c>
      <c r="AJ324" s="158">
        <v>0</v>
      </c>
      <c r="AK324" s="158">
        <v>305710</v>
      </c>
      <c r="AL324" s="158">
        <v>305710</v>
      </c>
      <c r="AM324" s="158">
        <v>2610000</v>
      </c>
      <c r="AN324" s="158">
        <v>305710</v>
      </c>
      <c r="AO324" s="158">
        <v>305710</v>
      </c>
      <c r="AP324" s="158">
        <v>305000</v>
      </c>
      <c r="AQ324" s="432">
        <v>0</v>
      </c>
      <c r="AR324" s="432">
        <v>0</v>
      </c>
      <c r="AS324" s="432">
        <v>0</v>
      </c>
      <c r="AT324" s="432">
        <v>0</v>
      </c>
      <c r="AU324" s="432">
        <v>0</v>
      </c>
      <c r="AV324" s="432">
        <v>0</v>
      </c>
      <c r="AW324" s="432">
        <v>0</v>
      </c>
      <c r="AX324" s="432">
        <v>0</v>
      </c>
      <c r="AY324" s="158">
        <v>0</v>
      </c>
      <c r="AZ324" s="158">
        <v>0</v>
      </c>
      <c r="BA324" s="158">
        <v>0</v>
      </c>
      <c r="BB324" s="158">
        <v>0</v>
      </c>
      <c r="BC324" s="158">
        <v>0</v>
      </c>
      <c r="BD324" s="158">
        <v>0</v>
      </c>
      <c r="BE324" s="158">
        <v>0</v>
      </c>
      <c r="BF324" s="160">
        <v>0</v>
      </c>
      <c r="BG324" s="383">
        <v>2023</v>
      </c>
      <c r="BH324" s="383">
        <v>1</v>
      </c>
      <c r="BI324" s="383">
        <v>19</v>
      </c>
      <c r="BK324" s="147" t="str">
        <f>IF(R324=SUM(Z324,AH324,AP324,AX324,BF324),"○","×")</f>
        <v>○</v>
      </c>
    </row>
    <row r="325" spans="1:63" s="152" customFormat="1" x14ac:dyDescent="0.2">
      <c r="A325" s="428">
        <v>1521</v>
      </c>
      <c r="B325" s="429"/>
      <c r="C325" s="430"/>
      <c r="D325" s="429"/>
      <c r="E325" s="430"/>
      <c r="F325" s="429"/>
      <c r="G325" s="429"/>
      <c r="H325" s="430"/>
      <c r="I325" s="429"/>
      <c r="J325" s="429"/>
      <c r="K325" s="429"/>
      <c r="L325" s="383"/>
      <c r="M325" s="383" t="s">
        <v>768</v>
      </c>
      <c r="N325" s="383" t="s">
        <v>323</v>
      </c>
      <c r="O325" s="383" t="s">
        <v>769</v>
      </c>
      <c r="P325" s="383" t="s">
        <v>970</v>
      </c>
      <c r="Q325" s="383"/>
      <c r="R325" s="431">
        <v>675000</v>
      </c>
      <c r="S325" s="158">
        <v>0</v>
      </c>
      <c r="T325" s="158">
        <v>0</v>
      </c>
      <c r="U325" s="158">
        <v>0</v>
      </c>
      <c r="V325" s="158">
        <v>0</v>
      </c>
      <c r="W325" s="158">
        <v>0</v>
      </c>
      <c r="X325" s="158">
        <v>0</v>
      </c>
      <c r="Y325" s="158">
        <v>0</v>
      </c>
      <c r="Z325" s="158">
        <v>0</v>
      </c>
      <c r="AA325" s="432">
        <v>0</v>
      </c>
      <c r="AB325" s="432">
        <v>0</v>
      </c>
      <c r="AC325" s="432">
        <v>0</v>
      </c>
      <c r="AD325" s="432">
        <v>0</v>
      </c>
      <c r="AE325" s="432">
        <v>0</v>
      </c>
      <c r="AF325" s="432">
        <v>0</v>
      </c>
      <c r="AG325" s="432">
        <v>0</v>
      </c>
      <c r="AH325" s="432">
        <v>0</v>
      </c>
      <c r="AI325" s="158">
        <v>675950</v>
      </c>
      <c r="AJ325" s="158">
        <v>0</v>
      </c>
      <c r="AK325" s="158">
        <v>675950</v>
      </c>
      <c r="AL325" s="158">
        <v>675950</v>
      </c>
      <c r="AM325" s="158">
        <v>1310400</v>
      </c>
      <c r="AN325" s="158">
        <v>675950</v>
      </c>
      <c r="AO325" s="158">
        <v>675950</v>
      </c>
      <c r="AP325" s="158">
        <v>675000</v>
      </c>
      <c r="AQ325" s="432">
        <v>0</v>
      </c>
      <c r="AR325" s="432">
        <v>0</v>
      </c>
      <c r="AS325" s="432">
        <v>0</v>
      </c>
      <c r="AT325" s="432">
        <v>0</v>
      </c>
      <c r="AU325" s="432">
        <v>0</v>
      </c>
      <c r="AV325" s="432">
        <v>0</v>
      </c>
      <c r="AW325" s="432">
        <v>0</v>
      </c>
      <c r="AX325" s="432">
        <v>0</v>
      </c>
      <c r="AY325" s="158">
        <v>0</v>
      </c>
      <c r="AZ325" s="158">
        <v>0</v>
      </c>
      <c r="BA325" s="158">
        <v>0</v>
      </c>
      <c r="BB325" s="158">
        <v>0</v>
      </c>
      <c r="BC325" s="158">
        <v>0</v>
      </c>
      <c r="BD325" s="158">
        <v>0</v>
      </c>
      <c r="BE325" s="158">
        <v>0</v>
      </c>
      <c r="BF325" s="160">
        <v>0</v>
      </c>
      <c r="BG325" s="383">
        <v>2023</v>
      </c>
      <c r="BH325" s="383">
        <v>1</v>
      </c>
      <c r="BI325" s="383">
        <v>19</v>
      </c>
      <c r="BJ325" s="148"/>
      <c r="BK325" s="147" t="str">
        <f>IF(R325=SUM(Z325,AH325,AP325,AX325,BF325),"○","×")</f>
        <v>○</v>
      </c>
    </row>
    <row r="326" spans="1:63" x14ac:dyDescent="0.2">
      <c r="A326" s="428">
        <v>1522</v>
      </c>
      <c r="B326" s="429"/>
      <c r="C326" s="430"/>
      <c r="D326" s="429"/>
      <c r="E326" s="430"/>
      <c r="F326" s="429"/>
      <c r="G326" s="429"/>
      <c r="H326" s="430"/>
      <c r="I326" s="429"/>
      <c r="J326" s="429"/>
      <c r="K326" s="429"/>
      <c r="L326" s="383"/>
      <c r="M326" s="383" t="s">
        <v>388</v>
      </c>
      <c r="N326" s="383" t="s">
        <v>353</v>
      </c>
      <c r="O326" s="383" t="s">
        <v>389</v>
      </c>
      <c r="P326" s="383" t="s">
        <v>970</v>
      </c>
      <c r="Q326" s="383"/>
      <c r="R326" s="431">
        <v>560000</v>
      </c>
      <c r="S326" s="158">
        <v>0</v>
      </c>
      <c r="T326" s="158">
        <v>0</v>
      </c>
      <c r="U326" s="158">
        <v>0</v>
      </c>
      <c r="V326" s="158">
        <v>0</v>
      </c>
      <c r="W326" s="158">
        <v>0</v>
      </c>
      <c r="X326" s="158">
        <v>0</v>
      </c>
      <c r="Y326" s="158">
        <v>0</v>
      </c>
      <c r="Z326" s="158">
        <v>0</v>
      </c>
      <c r="AA326" s="432">
        <v>0</v>
      </c>
      <c r="AB326" s="432">
        <v>0</v>
      </c>
      <c r="AC326" s="432">
        <v>0</v>
      </c>
      <c r="AD326" s="432">
        <v>0</v>
      </c>
      <c r="AE326" s="432">
        <v>0</v>
      </c>
      <c r="AF326" s="432">
        <v>0</v>
      </c>
      <c r="AG326" s="432">
        <v>0</v>
      </c>
      <c r="AH326" s="432">
        <v>0</v>
      </c>
      <c r="AI326" s="158">
        <v>560800</v>
      </c>
      <c r="AJ326" s="158">
        <v>0</v>
      </c>
      <c r="AK326" s="158">
        <v>560800</v>
      </c>
      <c r="AL326" s="158">
        <v>560800</v>
      </c>
      <c r="AM326" s="158">
        <v>2998800</v>
      </c>
      <c r="AN326" s="158">
        <v>560800</v>
      </c>
      <c r="AO326" s="158">
        <v>560800</v>
      </c>
      <c r="AP326" s="158">
        <v>560000</v>
      </c>
      <c r="AQ326" s="432">
        <v>0</v>
      </c>
      <c r="AR326" s="432">
        <v>0</v>
      </c>
      <c r="AS326" s="432">
        <v>0</v>
      </c>
      <c r="AT326" s="432">
        <v>0</v>
      </c>
      <c r="AU326" s="432">
        <v>0</v>
      </c>
      <c r="AV326" s="432">
        <v>0</v>
      </c>
      <c r="AW326" s="432">
        <v>0</v>
      </c>
      <c r="AX326" s="432">
        <v>0</v>
      </c>
      <c r="AY326" s="158">
        <v>0</v>
      </c>
      <c r="AZ326" s="158">
        <v>0</v>
      </c>
      <c r="BA326" s="158">
        <v>0</v>
      </c>
      <c r="BB326" s="158">
        <v>0</v>
      </c>
      <c r="BC326" s="158">
        <v>0</v>
      </c>
      <c r="BD326" s="158">
        <v>0</v>
      </c>
      <c r="BE326" s="158">
        <v>0</v>
      </c>
      <c r="BF326" s="160">
        <v>0</v>
      </c>
      <c r="BG326" s="383">
        <v>2023</v>
      </c>
      <c r="BH326" s="383">
        <v>1</v>
      </c>
      <c r="BI326" s="383">
        <v>19</v>
      </c>
      <c r="BK326" s="147" t="str">
        <f>IF(R326=SUM(Z326,AH326,AP326,AX326,BF326),"○","×")</f>
        <v>○</v>
      </c>
    </row>
    <row r="327" spans="1:63" x14ac:dyDescent="0.2">
      <c r="A327" s="428">
        <v>1523</v>
      </c>
      <c r="B327" s="429"/>
      <c r="C327" s="430"/>
      <c r="D327" s="429"/>
      <c r="E327" s="430"/>
      <c r="F327" s="429"/>
      <c r="G327" s="429"/>
      <c r="H327" s="430"/>
      <c r="I327" s="429"/>
      <c r="J327" s="429"/>
      <c r="K327" s="429"/>
      <c r="L327" s="383"/>
      <c r="M327" s="383" t="s">
        <v>770</v>
      </c>
      <c r="N327" s="383" t="s">
        <v>332</v>
      </c>
      <c r="O327" s="383" t="s">
        <v>771</v>
      </c>
      <c r="P327" s="383" t="s">
        <v>970</v>
      </c>
      <c r="Q327" s="383"/>
      <c r="R327" s="431">
        <v>215000</v>
      </c>
      <c r="S327" s="158">
        <v>0</v>
      </c>
      <c r="T327" s="158">
        <v>0</v>
      </c>
      <c r="U327" s="158">
        <v>0</v>
      </c>
      <c r="V327" s="158">
        <v>0</v>
      </c>
      <c r="W327" s="158">
        <v>0</v>
      </c>
      <c r="X327" s="158">
        <v>0</v>
      </c>
      <c r="Y327" s="158">
        <v>0</v>
      </c>
      <c r="Z327" s="158">
        <v>0</v>
      </c>
      <c r="AA327" s="432">
        <v>0</v>
      </c>
      <c r="AB327" s="432">
        <v>0</v>
      </c>
      <c r="AC327" s="432">
        <v>0</v>
      </c>
      <c r="AD327" s="432">
        <v>0</v>
      </c>
      <c r="AE327" s="432">
        <v>0</v>
      </c>
      <c r="AF327" s="432">
        <v>0</v>
      </c>
      <c r="AG327" s="432">
        <v>0</v>
      </c>
      <c r="AH327" s="432">
        <v>0</v>
      </c>
      <c r="AI327" s="158">
        <v>215895</v>
      </c>
      <c r="AJ327" s="158">
        <v>0</v>
      </c>
      <c r="AK327" s="158">
        <v>215895</v>
      </c>
      <c r="AL327" s="158">
        <v>215895</v>
      </c>
      <c r="AM327" s="158">
        <v>5184000</v>
      </c>
      <c r="AN327" s="158">
        <v>215895</v>
      </c>
      <c r="AO327" s="158">
        <v>215895</v>
      </c>
      <c r="AP327" s="158">
        <v>215000</v>
      </c>
      <c r="AQ327" s="432">
        <v>0</v>
      </c>
      <c r="AR327" s="432">
        <v>0</v>
      </c>
      <c r="AS327" s="432">
        <v>0</v>
      </c>
      <c r="AT327" s="432">
        <v>0</v>
      </c>
      <c r="AU327" s="432">
        <v>0</v>
      </c>
      <c r="AV327" s="432">
        <v>0</v>
      </c>
      <c r="AW327" s="432">
        <v>0</v>
      </c>
      <c r="AX327" s="432">
        <v>0</v>
      </c>
      <c r="AY327" s="158">
        <v>0</v>
      </c>
      <c r="AZ327" s="158">
        <v>0</v>
      </c>
      <c r="BA327" s="158">
        <v>0</v>
      </c>
      <c r="BB327" s="158">
        <v>0</v>
      </c>
      <c r="BC327" s="158">
        <v>0</v>
      </c>
      <c r="BD327" s="158">
        <v>0</v>
      </c>
      <c r="BE327" s="158">
        <v>0</v>
      </c>
      <c r="BF327" s="160">
        <v>0</v>
      </c>
      <c r="BG327" s="383">
        <v>2023</v>
      </c>
      <c r="BH327" s="383">
        <v>1</v>
      </c>
      <c r="BI327" s="383">
        <v>19</v>
      </c>
      <c r="BJ327" s="152"/>
      <c r="BK327" s="147" t="str">
        <f>IF(R327=SUM(Z327,AH327,AP327,AX327,BF327),"○","×")</f>
        <v>○</v>
      </c>
    </row>
    <row r="328" spans="1:63" x14ac:dyDescent="0.2">
      <c r="A328" s="428">
        <v>1524</v>
      </c>
      <c r="B328" s="429"/>
      <c r="C328" s="430"/>
      <c r="D328" s="429"/>
      <c r="E328" s="430"/>
      <c r="F328" s="429"/>
      <c r="G328" s="429"/>
      <c r="H328" s="430"/>
      <c r="I328" s="429"/>
      <c r="J328" s="429"/>
      <c r="K328" s="429"/>
      <c r="L328" s="383"/>
      <c r="M328" s="383" t="s">
        <v>772</v>
      </c>
      <c r="N328" s="383" t="s">
        <v>340</v>
      </c>
      <c r="O328" s="383" t="s">
        <v>773</v>
      </c>
      <c r="P328" s="383" t="s">
        <v>970</v>
      </c>
      <c r="Q328" s="383"/>
      <c r="R328" s="431">
        <v>248000</v>
      </c>
      <c r="S328" s="158">
        <v>0</v>
      </c>
      <c r="T328" s="158">
        <v>0</v>
      </c>
      <c r="U328" s="158">
        <v>0</v>
      </c>
      <c r="V328" s="158">
        <v>0</v>
      </c>
      <c r="W328" s="158">
        <v>0</v>
      </c>
      <c r="X328" s="158">
        <v>0</v>
      </c>
      <c r="Y328" s="158">
        <v>0</v>
      </c>
      <c r="Z328" s="158">
        <v>0</v>
      </c>
      <c r="AA328" s="432">
        <v>0</v>
      </c>
      <c r="AB328" s="432">
        <v>0</v>
      </c>
      <c r="AC328" s="432">
        <v>0</v>
      </c>
      <c r="AD328" s="432">
        <v>0</v>
      </c>
      <c r="AE328" s="432">
        <v>0</v>
      </c>
      <c r="AF328" s="432">
        <v>0</v>
      </c>
      <c r="AG328" s="432">
        <v>0</v>
      </c>
      <c r="AH328" s="432">
        <v>0</v>
      </c>
      <c r="AI328" s="158">
        <v>248900</v>
      </c>
      <c r="AJ328" s="158">
        <v>0</v>
      </c>
      <c r="AK328" s="158">
        <v>248900</v>
      </c>
      <c r="AL328" s="158">
        <v>248900</v>
      </c>
      <c r="AM328" s="158">
        <v>3960000</v>
      </c>
      <c r="AN328" s="158">
        <v>248900</v>
      </c>
      <c r="AO328" s="158">
        <v>248900</v>
      </c>
      <c r="AP328" s="158">
        <v>248000</v>
      </c>
      <c r="AQ328" s="432">
        <v>0</v>
      </c>
      <c r="AR328" s="432">
        <v>0</v>
      </c>
      <c r="AS328" s="432">
        <v>0</v>
      </c>
      <c r="AT328" s="432">
        <v>0</v>
      </c>
      <c r="AU328" s="432">
        <v>0</v>
      </c>
      <c r="AV328" s="432">
        <v>0</v>
      </c>
      <c r="AW328" s="432">
        <v>0</v>
      </c>
      <c r="AX328" s="432">
        <v>0</v>
      </c>
      <c r="AY328" s="158">
        <v>0</v>
      </c>
      <c r="AZ328" s="158">
        <v>0</v>
      </c>
      <c r="BA328" s="158">
        <v>0</v>
      </c>
      <c r="BB328" s="158">
        <v>0</v>
      </c>
      <c r="BC328" s="158">
        <v>0</v>
      </c>
      <c r="BD328" s="158">
        <v>0</v>
      </c>
      <c r="BE328" s="158">
        <v>0</v>
      </c>
      <c r="BF328" s="160">
        <v>0</v>
      </c>
      <c r="BG328" s="383">
        <v>2023</v>
      </c>
      <c r="BH328" s="383">
        <v>1</v>
      </c>
      <c r="BI328" s="383">
        <v>19</v>
      </c>
      <c r="BK328" s="147" t="str">
        <f>IF(R328=SUM(Z328,AH328,AP328,AX328,BF328),"○","×")</f>
        <v>○</v>
      </c>
    </row>
    <row r="329" spans="1:63" x14ac:dyDescent="0.2">
      <c r="A329" s="428">
        <v>1525</v>
      </c>
      <c r="B329" s="429"/>
      <c r="C329" s="430"/>
      <c r="D329" s="429"/>
      <c r="E329" s="430"/>
      <c r="F329" s="429"/>
      <c r="G329" s="429"/>
      <c r="H329" s="430"/>
      <c r="I329" s="429"/>
      <c r="J329" s="429"/>
      <c r="K329" s="429"/>
      <c r="L329" s="383"/>
      <c r="M329" s="383" t="s">
        <v>461</v>
      </c>
      <c r="N329" s="383" t="s">
        <v>323</v>
      </c>
      <c r="O329" s="383" t="s">
        <v>462</v>
      </c>
      <c r="P329" s="383" t="s">
        <v>970</v>
      </c>
      <c r="Q329" s="383"/>
      <c r="R329" s="431">
        <v>1620000</v>
      </c>
      <c r="S329" s="158">
        <v>0</v>
      </c>
      <c r="T329" s="158">
        <v>0</v>
      </c>
      <c r="U329" s="158">
        <v>0</v>
      </c>
      <c r="V329" s="158">
        <v>0</v>
      </c>
      <c r="W329" s="158">
        <v>0</v>
      </c>
      <c r="X329" s="158">
        <v>0</v>
      </c>
      <c r="Y329" s="158">
        <v>0</v>
      </c>
      <c r="Z329" s="158">
        <v>0</v>
      </c>
      <c r="AA329" s="432">
        <v>0</v>
      </c>
      <c r="AB329" s="432">
        <v>0</v>
      </c>
      <c r="AC329" s="432">
        <v>0</v>
      </c>
      <c r="AD329" s="432">
        <v>0</v>
      </c>
      <c r="AE329" s="432">
        <v>0</v>
      </c>
      <c r="AF329" s="432">
        <v>0</v>
      </c>
      <c r="AG329" s="432">
        <v>0</v>
      </c>
      <c r="AH329" s="432">
        <v>0</v>
      </c>
      <c r="AI329" s="158">
        <v>1705104</v>
      </c>
      <c r="AJ329" s="158">
        <v>0</v>
      </c>
      <c r="AK329" s="158">
        <v>1705104</v>
      </c>
      <c r="AL329" s="158">
        <v>1705104</v>
      </c>
      <c r="AM329" s="158">
        <v>1620000</v>
      </c>
      <c r="AN329" s="158">
        <v>1620000</v>
      </c>
      <c r="AO329" s="158">
        <v>1620000</v>
      </c>
      <c r="AP329" s="158">
        <v>1620000</v>
      </c>
      <c r="AQ329" s="432">
        <v>0</v>
      </c>
      <c r="AR329" s="432">
        <v>0</v>
      </c>
      <c r="AS329" s="432">
        <v>0</v>
      </c>
      <c r="AT329" s="432">
        <v>0</v>
      </c>
      <c r="AU329" s="432">
        <v>0</v>
      </c>
      <c r="AV329" s="432">
        <v>0</v>
      </c>
      <c r="AW329" s="432">
        <v>0</v>
      </c>
      <c r="AX329" s="432">
        <v>0</v>
      </c>
      <c r="AY329" s="158">
        <v>0</v>
      </c>
      <c r="AZ329" s="158">
        <v>0</v>
      </c>
      <c r="BA329" s="158">
        <v>0</v>
      </c>
      <c r="BB329" s="158">
        <v>0</v>
      </c>
      <c r="BC329" s="158">
        <v>0</v>
      </c>
      <c r="BD329" s="158">
        <v>0</v>
      </c>
      <c r="BE329" s="158">
        <v>0</v>
      </c>
      <c r="BF329" s="160">
        <v>0</v>
      </c>
      <c r="BG329" s="383">
        <v>2023</v>
      </c>
      <c r="BH329" s="383">
        <v>1</v>
      </c>
      <c r="BI329" s="383">
        <v>19</v>
      </c>
      <c r="BK329" s="147" t="str">
        <f>IF(R329=SUM(Z329,AH329,AP329,AX329,BF329),"○","×")</f>
        <v>○</v>
      </c>
    </row>
    <row r="330" spans="1:63" x14ac:dyDescent="0.2">
      <c r="A330" s="428">
        <v>1526</v>
      </c>
      <c r="B330" s="429"/>
      <c r="C330" s="430"/>
      <c r="D330" s="429"/>
      <c r="E330" s="430"/>
      <c r="F330" s="429"/>
      <c r="G330" s="429"/>
      <c r="H330" s="430"/>
      <c r="I330" s="429"/>
      <c r="J330" s="429"/>
      <c r="K330" s="429"/>
      <c r="L330" s="383"/>
      <c r="M330" s="383" t="s">
        <v>569</v>
      </c>
      <c r="N330" s="383" t="s">
        <v>340</v>
      </c>
      <c r="O330" s="383" t="s">
        <v>333</v>
      </c>
      <c r="P330" s="383" t="s">
        <v>970</v>
      </c>
      <c r="Q330" s="383"/>
      <c r="R330" s="431">
        <v>192000</v>
      </c>
      <c r="S330" s="158">
        <v>0</v>
      </c>
      <c r="T330" s="158">
        <v>0</v>
      </c>
      <c r="U330" s="158">
        <v>0</v>
      </c>
      <c r="V330" s="158">
        <v>0</v>
      </c>
      <c r="W330" s="158">
        <v>0</v>
      </c>
      <c r="X330" s="158">
        <v>0</v>
      </c>
      <c r="Y330" s="158">
        <v>0</v>
      </c>
      <c r="Z330" s="158">
        <v>0</v>
      </c>
      <c r="AA330" s="432">
        <v>0</v>
      </c>
      <c r="AB330" s="432">
        <v>0</v>
      </c>
      <c r="AC330" s="432">
        <v>0</v>
      </c>
      <c r="AD330" s="432">
        <v>0</v>
      </c>
      <c r="AE330" s="432">
        <v>0</v>
      </c>
      <c r="AF330" s="432">
        <v>0</v>
      </c>
      <c r="AG330" s="432">
        <v>0</v>
      </c>
      <c r="AH330" s="432">
        <v>0</v>
      </c>
      <c r="AI330" s="158">
        <v>192000</v>
      </c>
      <c r="AJ330" s="158">
        <v>0</v>
      </c>
      <c r="AK330" s="158">
        <v>192000</v>
      </c>
      <c r="AL330" s="158">
        <v>192000</v>
      </c>
      <c r="AM330" s="158">
        <v>4633200</v>
      </c>
      <c r="AN330" s="158">
        <v>192000</v>
      </c>
      <c r="AO330" s="158">
        <v>192000</v>
      </c>
      <c r="AP330" s="158">
        <v>192000</v>
      </c>
      <c r="AQ330" s="432">
        <v>0</v>
      </c>
      <c r="AR330" s="432">
        <v>0</v>
      </c>
      <c r="AS330" s="432">
        <v>0</v>
      </c>
      <c r="AT330" s="432">
        <v>0</v>
      </c>
      <c r="AU330" s="432">
        <v>0</v>
      </c>
      <c r="AV330" s="432">
        <v>0</v>
      </c>
      <c r="AW330" s="432">
        <v>0</v>
      </c>
      <c r="AX330" s="432">
        <v>0</v>
      </c>
      <c r="AY330" s="158">
        <v>0</v>
      </c>
      <c r="AZ330" s="158">
        <v>0</v>
      </c>
      <c r="BA330" s="158">
        <v>0</v>
      </c>
      <c r="BB330" s="158">
        <v>0</v>
      </c>
      <c r="BC330" s="158">
        <v>0</v>
      </c>
      <c r="BD330" s="158">
        <v>0</v>
      </c>
      <c r="BE330" s="158">
        <v>0</v>
      </c>
      <c r="BF330" s="160">
        <v>0</v>
      </c>
      <c r="BG330" s="383">
        <v>2023</v>
      </c>
      <c r="BH330" s="383">
        <v>1</v>
      </c>
      <c r="BI330" s="383">
        <v>19</v>
      </c>
      <c r="BK330" s="147" t="str">
        <f>IF(R330=SUM(Z330,AH330,AP330,AX330,BF330),"○","×")</f>
        <v>○</v>
      </c>
    </row>
    <row r="331" spans="1:63" x14ac:dyDescent="0.2">
      <c r="A331" s="428">
        <v>1527</v>
      </c>
      <c r="B331" s="429"/>
      <c r="C331" s="430"/>
      <c r="D331" s="429"/>
      <c r="E331" s="430"/>
      <c r="F331" s="429"/>
      <c r="G331" s="429"/>
      <c r="H331" s="430"/>
      <c r="I331" s="429"/>
      <c r="J331" s="429"/>
      <c r="K331" s="429"/>
      <c r="L331" s="383"/>
      <c r="M331" s="383" t="s">
        <v>774</v>
      </c>
      <c r="N331" s="383" t="s">
        <v>447</v>
      </c>
      <c r="O331" s="383" t="s">
        <v>333</v>
      </c>
      <c r="P331" s="383" t="s">
        <v>970</v>
      </c>
      <c r="Q331" s="383"/>
      <c r="R331" s="431">
        <v>269000</v>
      </c>
      <c r="S331" s="158">
        <v>0</v>
      </c>
      <c r="T331" s="158">
        <v>0</v>
      </c>
      <c r="U331" s="158">
        <v>0</v>
      </c>
      <c r="V331" s="158">
        <v>0</v>
      </c>
      <c r="W331" s="158">
        <v>0</v>
      </c>
      <c r="X331" s="158">
        <v>0</v>
      </c>
      <c r="Y331" s="158">
        <v>0</v>
      </c>
      <c r="Z331" s="158">
        <v>0</v>
      </c>
      <c r="AA331" s="432">
        <v>0</v>
      </c>
      <c r="AB331" s="432">
        <v>0</v>
      </c>
      <c r="AC331" s="432">
        <v>0</v>
      </c>
      <c r="AD331" s="432">
        <v>0</v>
      </c>
      <c r="AE331" s="432">
        <v>0</v>
      </c>
      <c r="AF331" s="432">
        <v>0</v>
      </c>
      <c r="AG331" s="432">
        <v>0</v>
      </c>
      <c r="AH331" s="432">
        <v>0</v>
      </c>
      <c r="AI331" s="158">
        <v>269188</v>
      </c>
      <c r="AJ331" s="158">
        <v>0</v>
      </c>
      <c r="AK331" s="158">
        <v>269188</v>
      </c>
      <c r="AL331" s="158">
        <v>269188</v>
      </c>
      <c r="AM331" s="158">
        <v>5850000</v>
      </c>
      <c r="AN331" s="158">
        <v>269188</v>
      </c>
      <c r="AO331" s="158">
        <v>269188</v>
      </c>
      <c r="AP331" s="158">
        <v>269000</v>
      </c>
      <c r="AQ331" s="432">
        <v>0</v>
      </c>
      <c r="AR331" s="432">
        <v>0</v>
      </c>
      <c r="AS331" s="432">
        <v>0</v>
      </c>
      <c r="AT331" s="432">
        <v>0</v>
      </c>
      <c r="AU331" s="432">
        <v>0</v>
      </c>
      <c r="AV331" s="432">
        <v>0</v>
      </c>
      <c r="AW331" s="432">
        <v>0</v>
      </c>
      <c r="AX331" s="432">
        <v>0</v>
      </c>
      <c r="AY331" s="158">
        <v>0</v>
      </c>
      <c r="AZ331" s="158">
        <v>0</v>
      </c>
      <c r="BA331" s="158">
        <v>0</v>
      </c>
      <c r="BB331" s="158">
        <v>0</v>
      </c>
      <c r="BC331" s="158">
        <v>0</v>
      </c>
      <c r="BD331" s="158">
        <v>0</v>
      </c>
      <c r="BE331" s="158">
        <v>0</v>
      </c>
      <c r="BF331" s="160">
        <v>0</v>
      </c>
      <c r="BG331" s="383">
        <v>2023</v>
      </c>
      <c r="BH331" s="383">
        <v>1</v>
      </c>
      <c r="BI331" s="383">
        <v>19</v>
      </c>
      <c r="BK331" s="147" t="str">
        <f>IF(R331=SUM(Z331,AH331,AP331,AX331,BF331),"○","×")</f>
        <v>○</v>
      </c>
    </row>
    <row r="332" spans="1:63" x14ac:dyDescent="0.2">
      <c r="A332" s="428">
        <v>1528</v>
      </c>
      <c r="B332" s="429"/>
      <c r="C332" s="430"/>
      <c r="D332" s="429"/>
      <c r="E332" s="430"/>
      <c r="F332" s="429"/>
      <c r="G332" s="429"/>
      <c r="H332" s="430"/>
      <c r="I332" s="429"/>
      <c r="J332" s="429"/>
      <c r="K332" s="429"/>
      <c r="L332" s="383"/>
      <c r="M332" s="383" t="s">
        <v>693</v>
      </c>
      <c r="N332" s="383" t="s">
        <v>343</v>
      </c>
      <c r="O332" s="383" t="s">
        <v>462</v>
      </c>
      <c r="P332" s="383" t="s">
        <v>970</v>
      </c>
      <c r="Q332" s="383"/>
      <c r="R332" s="431">
        <v>368000</v>
      </c>
      <c r="S332" s="158">
        <v>0</v>
      </c>
      <c r="T332" s="158">
        <v>0</v>
      </c>
      <c r="U332" s="158">
        <v>0</v>
      </c>
      <c r="V332" s="158">
        <v>0</v>
      </c>
      <c r="W332" s="158">
        <v>0</v>
      </c>
      <c r="X332" s="158">
        <v>0</v>
      </c>
      <c r="Y332" s="158">
        <v>0</v>
      </c>
      <c r="Z332" s="158">
        <v>0</v>
      </c>
      <c r="AA332" s="432">
        <v>0</v>
      </c>
      <c r="AB332" s="432">
        <v>0</v>
      </c>
      <c r="AC332" s="432">
        <v>0</v>
      </c>
      <c r="AD332" s="432">
        <v>0</v>
      </c>
      <c r="AE332" s="432">
        <v>0</v>
      </c>
      <c r="AF332" s="432">
        <v>0</v>
      </c>
      <c r="AG332" s="432">
        <v>0</v>
      </c>
      <c r="AH332" s="432">
        <v>0</v>
      </c>
      <c r="AI332" s="158">
        <v>368580</v>
      </c>
      <c r="AJ332" s="158">
        <v>0</v>
      </c>
      <c r="AK332" s="158">
        <v>368580</v>
      </c>
      <c r="AL332" s="158">
        <v>368580</v>
      </c>
      <c r="AM332" s="158">
        <v>2592000</v>
      </c>
      <c r="AN332" s="158">
        <v>368580</v>
      </c>
      <c r="AO332" s="158">
        <v>368580</v>
      </c>
      <c r="AP332" s="158">
        <v>368000</v>
      </c>
      <c r="AQ332" s="432">
        <v>0</v>
      </c>
      <c r="AR332" s="432">
        <v>0</v>
      </c>
      <c r="AS332" s="432">
        <v>0</v>
      </c>
      <c r="AT332" s="432">
        <v>0</v>
      </c>
      <c r="AU332" s="432">
        <v>0</v>
      </c>
      <c r="AV332" s="432">
        <v>0</v>
      </c>
      <c r="AW332" s="432">
        <v>0</v>
      </c>
      <c r="AX332" s="432">
        <v>0</v>
      </c>
      <c r="AY332" s="158">
        <v>0</v>
      </c>
      <c r="AZ332" s="158">
        <v>0</v>
      </c>
      <c r="BA332" s="158">
        <v>0</v>
      </c>
      <c r="BB332" s="158">
        <v>0</v>
      </c>
      <c r="BC332" s="158">
        <v>0</v>
      </c>
      <c r="BD332" s="158">
        <v>0</v>
      </c>
      <c r="BE332" s="158">
        <v>0</v>
      </c>
      <c r="BF332" s="160">
        <v>0</v>
      </c>
      <c r="BG332" s="383">
        <v>2023</v>
      </c>
      <c r="BH332" s="383">
        <v>1</v>
      </c>
      <c r="BI332" s="383">
        <v>19</v>
      </c>
      <c r="BK332" s="147" t="str">
        <f>IF(R332=SUM(Z332,AH332,AP332,AX332,BF332),"○","×")</f>
        <v>○</v>
      </c>
    </row>
    <row r="333" spans="1:63" x14ac:dyDescent="0.2">
      <c r="A333" s="428">
        <v>1529</v>
      </c>
      <c r="B333" s="429"/>
      <c r="C333" s="430"/>
      <c r="D333" s="429"/>
      <c r="E333" s="430"/>
      <c r="F333" s="429"/>
      <c r="G333" s="429"/>
      <c r="H333" s="430"/>
      <c r="I333" s="429"/>
      <c r="J333" s="429"/>
      <c r="K333" s="429"/>
      <c r="L333" s="383"/>
      <c r="M333" s="383" t="s">
        <v>775</v>
      </c>
      <c r="N333" s="383" t="s">
        <v>367</v>
      </c>
      <c r="O333" s="383" t="s">
        <v>439</v>
      </c>
      <c r="P333" s="383" t="s">
        <v>970</v>
      </c>
      <c r="Q333" s="383"/>
      <c r="R333" s="431">
        <v>269000</v>
      </c>
      <c r="S333" s="158">
        <v>0</v>
      </c>
      <c r="T333" s="158">
        <v>0</v>
      </c>
      <c r="U333" s="158">
        <v>0</v>
      </c>
      <c r="V333" s="158">
        <v>0</v>
      </c>
      <c r="W333" s="158">
        <v>0</v>
      </c>
      <c r="X333" s="158">
        <v>0</v>
      </c>
      <c r="Y333" s="158">
        <v>0</v>
      </c>
      <c r="Z333" s="158">
        <v>0</v>
      </c>
      <c r="AA333" s="432">
        <v>0</v>
      </c>
      <c r="AB333" s="432">
        <v>0</v>
      </c>
      <c r="AC333" s="432">
        <v>0</v>
      </c>
      <c r="AD333" s="432">
        <v>0</v>
      </c>
      <c r="AE333" s="432">
        <v>0</v>
      </c>
      <c r="AF333" s="432">
        <v>0</v>
      </c>
      <c r="AG333" s="432">
        <v>0</v>
      </c>
      <c r="AH333" s="432">
        <v>0</v>
      </c>
      <c r="AI333" s="158">
        <v>269390</v>
      </c>
      <c r="AJ333" s="158">
        <v>0</v>
      </c>
      <c r="AK333" s="158">
        <v>269390</v>
      </c>
      <c r="AL333" s="158">
        <v>269390</v>
      </c>
      <c r="AM333" s="158">
        <v>4176000</v>
      </c>
      <c r="AN333" s="158">
        <v>269390</v>
      </c>
      <c r="AO333" s="158">
        <v>269390</v>
      </c>
      <c r="AP333" s="158">
        <v>269000</v>
      </c>
      <c r="AQ333" s="432">
        <v>0</v>
      </c>
      <c r="AR333" s="432">
        <v>0</v>
      </c>
      <c r="AS333" s="432">
        <v>0</v>
      </c>
      <c r="AT333" s="432">
        <v>0</v>
      </c>
      <c r="AU333" s="432">
        <v>0</v>
      </c>
      <c r="AV333" s="432">
        <v>0</v>
      </c>
      <c r="AW333" s="432">
        <v>0</v>
      </c>
      <c r="AX333" s="432">
        <v>0</v>
      </c>
      <c r="AY333" s="158">
        <v>0</v>
      </c>
      <c r="AZ333" s="158">
        <v>0</v>
      </c>
      <c r="BA333" s="158">
        <v>0</v>
      </c>
      <c r="BB333" s="158">
        <v>0</v>
      </c>
      <c r="BC333" s="158">
        <v>0</v>
      </c>
      <c r="BD333" s="158">
        <v>0</v>
      </c>
      <c r="BE333" s="158">
        <v>0</v>
      </c>
      <c r="BF333" s="160">
        <v>0</v>
      </c>
      <c r="BG333" s="383">
        <v>2023</v>
      </c>
      <c r="BH333" s="383">
        <v>1</v>
      </c>
      <c r="BI333" s="383">
        <v>19</v>
      </c>
      <c r="BK333" s="147" t="str">
        <f>IF(R333=SUM(Z333,AH333,AP333,AX333,BF333),"○","×")</f>
        <v>○</v>
      </c>
    </row>
    <row r="334" spans="1:63" x14ac:dyDescent="0.2">
      <c r="A334" s="428">
        <v>1530</v>
      </c>
      <c r="B334" s="429"/>
      <c r="C334" s="430"/>
      <c r="D334" s="429"/>
      <c r="E334" s="430"/>
      <c r="F334" s="429"/>
      <c r="G334" s="429"/>
      <c r="H334" s="430"/>
      <c r="I334" s="429"/>
      <c r="J334" s="429"/>
      <c r="K334" s="429"/>
      <c r="L334" s="383"/>
      <c r="M334" s="383" t="s">
        <v>618</v>
      </c>
      <c r="N334" s="383" t="s">
        <v>329</v>
      </c>
      <c r="O334" s="383" t="s">
        <v>619</v>
      </c>
      <c r="P334" s="383" t="s">
        <v>970</v>
      </c>
      <c r="Q334" s="383"/>
      <c r="R334" s="431">
        <v>111000</v>
      </c>
      <c r="S334" s="158">
        <v>0</v>
      </c>
      <c r="T334" s="158">
        <v>0</v>
      </c>
      <c r="U334" s="158">
        <v>0</v>
      </c>
      <c r="V334" s="158">
        <v>0</v>
      </c>
      <c r="W334" s="158">
        <v>0</v>
      </c>
      <c r="X334" s="158">
        <v>0</v>
      </c>
      <c r="Y334" s="158">
        <v>0</v>
      </c>
      <c r="Z334" s="158">
        <v>0</v>
      </c>
      <c r="AA334" s="432">
        <v>0</v>
      </c>
      <c r="AB334" s="432">
        <v>0</v>
      </c>
      <c r="AC334" s="432">
        <v>0</v>
      </c>
      <c r="AD334" s="432">
        <v>0</v>
      </c>
      <c r="AE334" s="432">
        <v>0</v>
      </c>
      <c r="AF334" s="432">
        <v>0</v>
      </c>
      <c r="AG334" s="432">
        <v>0</v>
      </c>
      <c r="AH334" s="432">
        <v>0</v>
      </c>
      <c r="AI334" s="158">
        <v>111375</v>
      </c>
      <c r="AJ334" s="158">
        <v>0</v>
      </c>
      <c r="AK334" s="158">
        <v>111375</v>
      </c>
      <c r="AL334" s="158">
        <v>111375</v>
      </c>
      <c r="AM334" s="158">
        <v>1022400</v>
      </c>
      <c r="AN334" s="158">
        <v>111375</v>
      </c>
      <c r="AO334" s="158">
        <v>111375</v>
      </c>
      <c r="AP334" s="158">
        <v>111000</v>
      </c>
      <c r="AQ334" s="432">
        <v>0</v>
      </c>
      <c r="AR334" s="432">
        <v>0</v>
      </c>
      <c r="AS334" s="432">
        <v>0</v>
      </c>
      <c r="AT334" s="432">
        <v>0</v>
      </c>
      <c r="AU334" s="432">
        <v>0</v>
      </c>
      <c r="AV334" s="432">
        <v>0</v>
      </c>
      <c r="AW334" s="432">
        <v>0</v>
      </c>
      <c r="AX334" s="432">
        <v>0</v>
      </c>
      <c r="AY334" s="158">
        <v>0</v>
      </c>
      <c r="AZ334" s="158">
        <v>0</v>
      </c>
      <c r="BA334" s="158">
        <v>0</v>
      </c>
      <c r="BB334" s="158">
        <v>0</v>
      </c>
      <c r="BC334" s="158">
        <v>0</v>
      </c>
      <c r="BD334" s="158">
        <v>0</v>
      </c>
      <c r="BE334" s="158">
        <v>0</v>
      </c>
      <c r="BF334" s="160">
        <v>0</v>
      </c>
      <c r="BG334" s="383">
        <v>2023</v>
      </c>
      <c r="BH334" s="383">
        <v>1</v>
      </c>
      <c r="BI334" s="383">
        <v>19</v>
      </c>
      <c r="BK334" s="147" t="str">
        <f>IF(R334=SUM(Z334,AH334,AP334,AX334,BF334),"○","×")</f>
        <v>○</v>
      </c>
    </row>
    <row r="335" spans="1:63" x14ac:dyDescent="0.2">
      <c r="A335" s="428">
        <v>1531</v>
      </c>
      <c r="B335" s="429"/>
      <c r="C335" s="430"/>
      <c r="D335" s="429"/>
      <c r="E335" s="430"/>
      <c r="F335" s="429"/>
      <c r="G335" s="429"/>
      <c r="H335" s="430"/>
      <c r="I335" s="429"/>
      <c r="J335" s="429"/>
      <c r="K335" s="429"/>
      <c r="L335" s="383"/>
      <c r="M335" s="383" t="s">
        <v>776</v>
      </c>
      <c r="N335" s="383" t="s">
        <v>777</v>
      </c>
      <c r="O335" s="383" t="s">
        <v>778</v>
      </c>
      <c r="P335" s="383" t="s">
        <v>970</v>
      </c>
      <c r="Q335" s="383"/>
      <c r="R335" s="431">
        <v>306000</v>
      </c>
      <c r="S335" s="158">
        <v>0</v>
      </c>
      <c r="T335" s="158">
        <v>0</v>
      </c>
      <c r="U335" s="158">
        <v>0</v>
      </c>
      <c r="V335" s="158">
        <v>0</v>
      </c>
      <c r="W335" s="158">
        <v>0</v>
      </c>
      <c r="X335" s="158">
        <v>0</v>
      </c>
      <c r="Y335" s="158">
        <v>0</v>
      </c>
      <c r="Z335" s="158">
        <v>0</v>
      </c>
      <c r="AA335" s="432">
        <v>0</v>
      </c>
      <c r="AB335" s="432">
        <v>0</v>
      </c>
      <c r="AC335" s="432">
        <v>0</v>
      </c>
      <c r="AD335" s="432">
        <v>0</v>
      </c>
      <c r="AE335" s="432">
        <v>0</v>
      </c>
      <c r="AF335" s="432">
        <v>0</v>
      </c>
      <c r="AG335" s="432">
        <v>0</v>
      </c>
      <c r="AH335" s="432">
        <v>0</v>
      </c>
      <c r="AI335" s="158">
        <v>306350</v>
      </c>
      <c r="AJ335" s="158">
        <v>0</v>
      </c>
      <c r="AK335" s="158">
        <v>306350</v>
      </c>
      <c r="AL335" s="158">
        <v>306350</v>
      </c>
      <c r="AM335" s="158">
        <v>1609200</v>
      </c>
      <c r="AN335" s="158">
        <v>306350</v>
      </c>
      <c r="AO335" s="158">
        <v>306350</v>
      </c>
      <c r="AP335" s="158">
        <v>306000</v>
      </c>
      <c r="AQ335" s="432">
        <v>0</v>
      </c>
      <c r="AR335" s="432">
        <v>0</v>
      </c>
      <c r="AS335" s="432">
        <v>0</v>
      </c>
      <c r="AT335" s="432">
        <v>0</v>
      </c>
      <c r="AU335" s="432">
        <v>0</v>
      </c>
      <c r="AV335" s="432">
        <v>0</v>
      </c>
      <c r="AW335" s="432">
        <v>0</v>
      </c>
      <c r="AX335" s="432">
        <v>0</v>
      </c>
      <c r="AY335" s="158">
        <v>0</v>
      </c>
      <c r="AZ335" s="158">
        <v>0</v>
      </c>
      <c r="BA335" s="158">
        <v>0</v>
      </c>
      <c r="BB335" s="158">
        <v>0</v>
      </c>
      <c r="BC335" s="158">
        <v>0</v>
      </c>
      <c r="BD335" s="158">
        <v>0</v>
      </c>
      <c r="BE335" s="158">
        <v>0</v>
      </c>
      <c r="BF335" s="160">
        <v>0</v>
      </c>
      <c r="BG335" s="383">
        <v>2023</v>
      </c>
      <c r="BH335" s="383">
        <v>1</v>
      </c>
      <c r="BI335" s="383">
        <v>19</v>
      </c>
      <c r="BK335" s="147" t="str">
        <f>IF(R335=SUM(Z335,AH335,AP335,AX335,BF335),"○","×")</f>
        <v>○</v>
      </c>
    </row>
    <row r="336" spans="1:63" x14ac:dyDescent="0.2">
      <c r="A336" s="428">
        <v>1532</v>
      </c>
      <c r="B336" s="429"/>
      <c r="C336" s="430"/>
      <c r="D336" s="429"/>
      <c r="E336" s="430"/>
      <c r="F336" s="429"/>
      <c r="G336" s="429"/>
      <c r="H336" s="430"/>
      <c r="I336" s="429"/>
      <c r="J336" s="429"/>
      <c r="K336" s="429"/>
      <c r="L336" s="383"/>
      <c r="M336" s="383" t="s">
        <v>640</v>
      </c>
      <c r="N336" s="383" t="s">
        <v>340</v>
      </c>
      <c r="O336" s="383" t="s">
        <v>573</v>
      </c>
      <c r="P336" s="383" t="s">
        <v>970</v>
      </c>
      <c r="Q336" s="383"/>
      <c r="R336" s="431">
        <v>453000</v>
      </c>
      <c r="S336" s="158">
        <v>0</v>
      </c>
      <c r="T336" s="158">
        <v>0</v>
      </c>
      <c r="U336" s="158">
        <v>0</v>
      </c>
      <c r="V336" s="158">
        <v>0</v>
      </c>
      <c r="W336" s="158">
        <v>0</v>
      </c>
      <c r="X336" s="158">
        <v>0</v>
      </c>
      <c r="Y336" s="158">
        <v>0</v>
      </c>
      <c r="Z336" s="158">
        <v>0</v>
      </c>
      <c r="AA336" s="432">
        <v>0</v>
      </c>
      <c r="AB336" s="432">
        <v>0</v>
      </c>
      <c r="AC336" s="432">
        <v>0</v>
      </c>
      <c r="AD336" s="432">
        <v>0</v>
      </c>
      <c r="AE336" s="432">
        <v>0</v>
      </c>
      <c r="AF336" s="432">
        <v>0</v>
      </c>
      <c r="AG336" s="432">
        <v>0</v>
      </c>
      <c r="AH336" s="432">
        <v>0</v>
      </c>
      <c r="AI336" s="158">
        <v>453860</v>
      </c>
      <c r="AJ336" s="158">
        <v>0</v>
      </c>
      <c r="AK336" s="158">
        <v>453860</v>
      </c>
      <c r="AL336" s="158">
        <v>453860</v>
      </c>
      <c r="AM336" s="158">
        <v>1544400</v>
      </c>
      <c r="AN336" s="158">
        <v>453860</v>
      </c>
      <c r="AO336" s="158">
        <v>453860</v>
      </c>
      <c r="AP336" s="158">
        <v>453000</v>
      </c>
      <c r="AQ336" s="432">
        <v>0</v>
      </c>
      <c r="AR336" s="432">
        <v>0</v>
      </c>
      <c r="AS336" s="432">
        <v>0</v>
      </c>
      <c r="AT336" s="432">
        <v>0</v>
      </c>
      <c r="AU336" s="432">
        <v>0</v>
      </c>
      <c r="AV336" s="432">
        <v>0</v>
      </c>
      <c r="AW336" s="432">
        <v>0</v>
      </c>
      <c r="AX336" s="432">
        <v>0</v>
      </c>
      <c r="AY336" s="158">
        <v>0</v>
      </c>
      <c r="AZ336" s="158">
        <v>0</v>
      </c>
      <c r="BA336" s="158">
        <v>0</v>
      </c>
      <c r="BB336" s="158">
        <v>0</v>
      </c>
      <c r="BC336" s="158">
        <v>0</v>
      </c>
      <c r="BD336" s="158">
        <v>0</v>
      </c>
      <c r="BE336" s="158">
        <v>0</v>
      </c>
      <c r="BF336" s="160">
        <v>0</v>
      </c>
      <c r="BG336" s="383">
        <v>2023</v>
      </c>
      <c r="BH336" s="383">
        <v>1</v>
      </c>
      <c r="BI336" s="383">
        <v>19</v>
      </c>
      <c r="BK336" s="147" t="str">
        <f>IF(R336=SUM(Z336,AH336,AP336,AX336,BF336),"○","×")</f>
        <v>○</v>
      </c>
    </row>
    <row r="337" spans="1:63" x14ac:dyDescent="0.2">
      <c r="A337" s="428">
        <v>1533</v>
      </c>
      <c r="B337" s="429"/>
      <c r="C337" s="430"/>
      <c r="D337" s="429"/>
      <c r="E337" s="430"/>
      <c r="F337" s="429"/>
      <c r="G337" s="429"/>
      <c r="H337" s="430"/>
      <c r="I337" s="429"/>
      <c r="J337" s="429"/>
      <c r="K337" s="429"/>
      <c r="L337" s="383"/>
      <c r="M337" s="383" t="s">
        <v>605</v>
      </c>
      <c r="N337" s="383" t="s">
        <v>340</v>
      </c>
      <c r="O337" s="383" t="s">
        <v>606</v>
      </c>
      <c r="P337" s="383" t="s">
        <v>970</v>
      </c>
      <c r="Q337" s="383"/>
      <c r="R337" s="431">
        <v>477000</v>
      </c>
      <c r="S337" s="158">
        <v>0</v>
      </c>
      <c r="T337" s="158">
        <v>0</v>
      </c>
      <c r="U337" s="158">
        <v>0</v>
      </c>
      <c r="V337" s="158">
        <v>0</v>
      </c>
      <c r="W337" s="158">
        <v>0</v>
      </c>
      <c r="X337" s="158">
        <v>0</v>
      </c>
      <c r="Y337" s="158">
        <v>0</v>
      </c>
      <c r="Z337" s="158">
        <v>0</v>
      </c>
      <c r="AA337" s="432">
        <v>0</v>
      </c>
      <c r="AB337" s="432">
        <v>0</v>
      </c>
      <c r="AC337" s="432">
        <v>0</v>
      </c>
      <c r="AD337" s="432">
        <v>0</v>
      </c>
      <c r="AE337" s="432">
        <v>0</v>
      </c>
      <c r="AF337" s="432">
        <v>0</v>
      </c>
      <c r="AG337" s="432">
        <v>0</v>
      </c>
      <c r="AH337" s="432">
        <v>0</v>
      </c>
      <c r="AI337" s="158">
        <v>477500</v>
      </c>
      <c r="AJ337" s="158">
        <v>0</v>
      </c>
      <c r="AK337" s="158">
        <v>477500</v>
      </c>
      <c r="AL337" s="158">
        <v>477500</v>
      </c>
      <c r="AM337" s="158">
        <v>1008000</v>
      </c>
      <c r="AN337" s="158">
        <v>477500</v>
      </c>
      <c r="AO337" s="158">
        <v>477500</v>
      </c>
      <c r="AP337" s="158">
        <v>477000</v>
      </c>
      <c r="AQ337" s="432">
        <v>0</v>
      </c>
      <c r="AR337" s="432">
        <v>0</v>
      </c>
      <c r="AS337" s="432">
        <v>0</v>
      </c>
      <c r="AT337" s="432">
        <v>0</v>
      </c>
      <c r="AU337" s="432">
        <v>0</v>
      </c>
      <c r="AV337" s="432">
        <v>0</v>
      </c>
      <c r="AW337" s="432">
        <v>0</v>
      </c>
      <c r="AX337" s="432">
        <v>0</v>
      </c>
      <c r="AY337" s="158">
        <v>0</v>
      </c>
      <c r="AZ337" s="158">
        <v>0</v>
      </c>
      <c r="BA337" s="158">
        <v>0</v>
      </c>
      <c r="BB337" s="158">
        <v>0</v>
      </c>
      <c r="BC337" s="158">
        <v>0</v>
      </c>
      <c r="BD337" s="158">
        <v>0</v>
      </c>
      <c r="BE337" s="158">
        <v>0</v>
      </c>
      <c r="BF337" s="160">
        <v>0</v>
      </c>
      <c r="BG337" s="383">
        <v>2023</v>
      </c>
      <c r="BH337" s="383">
        <v>1</v>
      </c>
      <c r="BI337" s="383">
        <v>19</v>
      </c>
      <c r="BK337" s="147" t="str">
        <f>IF(R337=SUM(Z337,AH337,AP337,AX337,BF337),"○","×")</f>
        <v>○</v>
      </c>
    </row>
    <row r="338" spans="1:63" x14ac:dyDescent="0.2">
      <c r="A338" s="428">
        <v>1534</v>
      </c>
      <c r="B338" s="429"/>
      <c r="C338" s="430"/>
      <c r="D338" s="429"/>
      <c r="E338" s="430"/>
      <c r="F338" s="429"/>
      <c r="G338" s="429"/>
      <c r="H338" s="430"/>
      <c r="I338" s="429"/>
      <c r="J338" s="429"/>
      <c r="K338" s="429"/>
      <c r="L338" s="383"/>
      <c r="M338" s="383" t="s">
        <v>510</v>
      </c>
      <c r="N338" s="383" t="s">
        <v>356</v>
      </c>
      <c r="O338" s="383" t="s">
        <v>324</v>
      </c>
      <c r="P338" s="383" t="s">
        <v>970</v>
      </c>
      <c r="Q338" s="383"/>
      <c r="R338" s="431">
        <v>196000</v>
      </c>
      <c r="S338" s="158">
        <v>0</v>
      </c>
      <c r="T338" s="158">
        <v>0</v>
      </c>
      <c r="U338" s="158">
        <v>0</v>
      </c>
      <c r="V338" s="158">
        <v>0</v>
      </c>
      <c r="W338" s="158">
        <v>0</v>
      </c>
      <c r="X338" s="158">
        <v>0</v>
      </c>
      <c r="Y338" s="158">
        <v>0</v>
      </c>
      <c r="Z338" s="158">
        <v>0</v>
      </c>
      <c r="AA338" s="432">
        <v>0</v>
      </c>
      <c r="AB338" s="432">
        <v>0</v>
      </c>
      <c r="AC338" s="432">
        <v>0</v>
      </c>
      <c r="AD338" s="432">
        <v>0</v>
      </c>
      <c r="AE338" s="432">
        <v>0</v>
      </c>
      <c r="AF338" s="432">
        <v>0</v>
      </c>
      <c r="AG338" s="432">
        <v>0</v>
      </c>
      <c r="AH338" s="432">
        <v>0</v>
      </c>
      <c r="AI338" s="158">
        <v>196783</v>
      </c>
      <c r="AJ338" s="158">
        <v>0</v>
      </c>
      <c r="AK338" s="158">
        <v>196783</v>
      </c>
      <c r="AL338" s="158">
        <v>196783</v>
      </c>
      <c r="AM338" s="158">
        <v>3110400</v>
      </c>
      <c r="AN338" s="158">
        <v>196783</v>
      </c>
      <c r="AO338" s="158">
        <v>196783</v>
      </c>
      <c r="AP338" s="158">
        <v>196000</v>
      </c>
      <c r="AQ338" s="432">
        <v>0</v>
      </c>
      <c r="AR338" s="432">
        <v>0</v>
      </c>
      <c r="AS338" s="432">
        <v>0</v>
      </c>
      <c r="AT338" s="432">
        <v>0</v>
      </c>
      <c r="AU338" s="432">
        <v>0</v>
      </c>
      <c r="AV338" s="432">
        <v>0</v>
      </c>
      <c r="AW338" s="432">
        <v>0</v>
      </c>
      <c r="AX338" s="432">
        <v>0</v>
      </c>
      <c r="AY338" s="158">
        <v>0</v>
      </c>
      <c r="AZ338" s="158">
        <v>0</v>
      </c>
      <c r="BA338" s="158">
        <v>0</v>
      </c>
      <c r="BB338" s="158">
        <v>0</v>
      </c>
      <c r="BC338" s="158">
        <v>0</v>
      </c>
      <c r="BD338" s="158">
        <v>0</v>
      </c>
      <c r="BE338" s="158">
        <v>0</v>
      </c>
      <c r="BF338" s="160">
        <v>0</v>
      </c>
      <c r="BG338" s="383">
        <v>2023</v>
      </c>
      <c r="BH338" s="383">
        <v>1</v>
      </c>
      <c r="BI338" s="383">
        <v>19</v>
      </c>
      <c r="BK338" s="147" t="str">
        <f>IF(R338=SUM(Z338,AH338,AP338,AX338,BF338),"○","×")</f>
        <v>○</v>
      </c>
    </row>
    <row r="339" spans="1:63" x14ac:dyDescent="0.2">
      <c r="A339" s="428">
        <v>1535</v>
      </c>
      <c r="B339" s="429"/>
      <c r="C339" s="430"/>
      <c r="D339" s="429"/>
      <c r="E339" s="430"/>
      <c r="F339" s="429"/>
      <c r="G339" s="429"/>
      <c r="H339" s="430"/>
      <c r="I339" s="429"/>
      <c r="J339" s="429"/>
      <c r="K339" s="429"/>
      <c r="L339" s="383"/>
      <c r="M339" s="383" t="s">
        <v>386</v>
      </c>
      <c r="N339" s="383" t="s">
        <v>329</v>
      </c>
      <c r="O339" s="383" t="s">
        <v>387</v>
      </c>
      <c r="P339" s="383" t="s">
        <v>970</v>
      </c>
      <c r="Q339" s="383"/>
      <c r="R339" s="431">
        <v>106000</v>
      </c>
      <c r="S339" s="158">
        <v>0</v>
      </c>
      <c r="T339" s="158">
        <v>0</v>
      </c>
      <c r="U339" s="158">
        <v>0</v>
      </c>
      <c r="V339" s="158">
        <v>0</v>
      </c>
      <c r="W339" s="158">
        <v>0</v>
      </c>
      <c r="X339" s="158">
        <v>0</v>
      </c>
      <c r="Y339" s="158">
        <v>0</v>
      </c>
      <c r="Z339" s="158">
        <v>0</v>
      </c>
      <c r="AA339" s="432">
        <v>0</v>
      </c>
      <c r="AB339" s="432">
        <v>0</v>
      </c>
      <c r="AC339" s="432">
        <v>0</v>
      </c>
      <c r="AD339" s="432">
        <v>0</v>
      </c>
      <c r="AE339" s="432">
        <v>0</v>
      </c>
      <c r="AF339" s="432">
        <v>0</v>
      </c>
      <c r="AG339" s="432">
        <v>0</v>
      </c>
      <c r="AH339" s="432">
        <v>0</v>
      </c>
      <c r="AI339" s="158">
        <v>106664</v>
      </c>
      <c r="AJ339" s="158">
        <v>0</v>
      </c>
      <c r="AK339" s="158">
        <v>106664</v>
      </c>
      <c r="AL339" s="158">
        <v>106664</v>
      </c>
      <c r="AM339" s="158">
        <v>864000</v>
      </c>
      <c r="AN339" s="158">
        <v>106664</v>
      </c>
      <c r="AO339" s="158">
        <v>106664</v>
      </c>
      <c r="AP339" s="158">
        <v>106000</v>
      </c>
      <c r="AQ339" s="432">
        <v>0</v>
      </c>
      <c r="AR339" s="432">
        <v>0</v>
      </c>
      <c r="AS339" s="432">
        <v>0</v>
      </c>
      <c r="AT339" s="432">
        <v>0</v>
      </c>
      <c r="AU339" s="432">
        <v>0</v>
      </c>
      <c r="AV339" s="432">
        <v>0</v>
      </c>
      <c r="AW339" s="432">
        <v>0</v>
      </c>
      <c r="AX339" s="432">
        <v>0</v>
      </c>
      <c r="AY339" s="158">
        <v>0</v>
      </c>
      <c r="AZ339" s="158">
        <v>0</v>
      </c>
      <c r="BA339" s="158">
        <v>0</v>
      </c>
      <c r="BB339" s="158">
        <v>0</v>
      </c>
      <c r="BC339" s="158">
        <v>0</v>
      </c>
      <c r="BD339" s="158">
        <v>0</v>
      </c>
      <c r="BE339" s="158">
        <v>0</v>
      </c>
      <c r="BF339" s="160">
        <v>0</v>
      </c>
      <c r="BG339" s="383">
        <v>2023</v>
      </c>
      <c r="BH339" s="383">
        <v>1</v>
      </c>
      <c r="BI339" s="383">
        <v>19</v>
      </c>
      <c r="BK339" s="147" t="str">
        <f>IF(R339=SUM(Z339,AH339,AP339,AX339,BF339),"○","×")</f>
        <v>○</v>
      </c>
    </row>
    <row r="340" spans="1:63" x14ac:dyDescent="0.2">
      <c r="A340" s="428">
        <v>1536</v>
      </c>
      <c r="B340" s="429"/>
      <c r="C340" s="430"/>
      <c r="D340" s="429"/>
      <c r="E340" s="430"/>
      <c r="F340" s="429"/>
      <c r="G340" s="429"/>
      <c r="H340" s="430"/>
      <c r="I340" s="429"/>
      <c r="J340" s="429"/>
      <c r="K340" s="429"/>
      <c r="L340" s="383"/>
      <c r="M340" s="383" t="s">
        <v>477</v>
      </c>
      <c r="N340" s="383" t="s">
        <v>353</v>
      </c>
      <c r="O340" s="383" t="s">
        <v>378</v>
      </c>
      <c r="P340" s="383" t="s">
        <v>970</v>
      </c>
      <c r="Q340" s="383"/>
      <c r="R340" s="431">
        <v>54000</v>
      </c>
      <c r="S340" s="158">
        <v>0</v>
      </c>
      <c r="T340" s="158">
        <v>0</v>
      </c>
      <c r="U340" s="158">
        <v>0</v>
      </c>
      <c r="V340" s="158">
        <v>0</v>
      </c>
      <c r="W340" s="158">
        <v>0</v>
      </c>
      <c r="X340" s="158">
        <v>0</v>
      </c>
      <c r="Y340" s="158">
        <v>0</v>
      </c>
      <c r="Z340" s="158">
        <v>0</v>
      </c>
      <c r="AA340" s="432">
        <v>0</v>
      </c>
      <c r="AB340" s="432">
        <v>0</v>
      </c>
      <c r="AC340" s="432">
        <v>0</v>
      </c>
      <c r="AD340" s="432">
        <v>0</v>
      </c>
      <c r="AE340" s="432">
        <v>0</v>
      </c>
      <c r="AF340" s="432">
        <v>0</v>
      </c>
      <c r="AG340" s="432">
        <v>0</v>
      </c>
      <c r="AH340" s="432">
        <v>0</v>
      </c>
      <c r="AI340" s="158">
        <v>54890</v>
      </c>
      <c r="AJ340" s="158">
        <v>0</v>
      </c>
      <c r="AK340" s="158">
        <v>54890</v>
      </c>
      <c r="AL340" s="158">
        <v>54890</v>
      </c>
      <c r="AM340" s="158">
        <v>1771200</v>
      </c>
      <c r="AN340" s="158">
        <v>54890</v>
      </c>
      <c r="AO340" s="158">
        <v>54890</v>
      </c>
      <c r="AP340" s="158">
        <v>54000</v>
      </c>
      <c r="AQ340" s="432">
        <v>0</v>
      </c>
      <c r="AR340" s="432">
        <v>0</v>
      </c>
      <c r="AS340" s="432">
        <v>0</v>
      </c>
      <c r="AT340" s="432">
        <v>0</v>
      </c>
      <c r="AU340" s="432">
        <v>0</v>
      </c>
      <c r="AV340" s="432">
        <v>0</v>
      </c>
      <c r="AW340" s="432">
        <v>0</v>
      </c>
      <c r="AX340" s="432">
        <v>0</v>
      </c>
      <c r="AY340" s="158">
        <v>0</v>
      </c>
      <c r="AZ340" s="158">
        <v>0</v>
      </c>
      <c r="BA340" s="158">
        <v>0</v>
      </c>
      <c r="BB340" s="158">
        <v>0</v>
      </c>
      <c r="BC340" s="158">
        <v>0</v>
      </c>
      <c r="BD340" s="158">
        <v>0</v>
      </c>
      <c r="BE340" s="158">
        <v>0</v>
      </c>
      <c r="BF340" s="160">
        <v>0</v>
      </c>
      <c r="BG340" s="383">
        <v>2023</v>
      </c>
      <c r="BH340" s="383">
        <v>1</v>
      </c>
      <c r="BI340" s="383">
        <v>19</v>
      </c>
      <c r="BK340" s="147" t="str">
        <f>IF(R340=SUM(Z340,AH340,AP340,AX340,BF340),"○","×")</f>
        <v>○</v>
      </c>
    </row>
    <row r="341" spans="1:63" s="152" customFormat="1" x14ac:dyDescent="0.2">
      <c r="A341" s="428">
        <v>1537</v>
      </c>
      <c r="B341" s="429"/>
      <c r="C341" s="430"/>
      <c r="D341" s="429"/>
      <c r="E341" s="430"/>
      <c r="F341" s="429"/>
      <c r="G341" s="429"/>
      <c r="H341" s="430"/>
      <c r="I341" s="429"/>
      <c r="J341" s="429"/>
      <c r="K341" s="429"/>
      <c r="L341" s="383"/>
      <c r="M341" s="383" t="s">
        <v>779</v>
      </c>
      <c r="N341" s="383" t="s">
        <v>384</v>
      </c>
      <c r="O341" s="383" t="s">
        <v>391</v>
      </c>
      <c r="P341" s="383" t="s">
        <v>970</v>
      </c>
      <c r="Q341" s="383"/>
      <c r="R341" s="431">
        <v>610000</v>
      </c>
      <c r="S341" s="158">
        <v>0</v>
      </c>
      <c r="T341" s="158">
        <v>0</v>
      </c>
      <c r="U341" s="158">
        <v>0</v>
      </c>
      <c r="V341" s="158">
        <v>0</v>
      </c>
      <c r="W341" s="158">
        <v>0</v>
      </c>
      <c r="X341" s="158">
        <v>0</v>
      </c>
      <c r="Y341" s="158">
        <v>0</v>
      </c>
      <c r="Z341" s="158">
        <v>0</v>
      </c>
      <c r="AA341" s="432">
        <v>0</v>
      </c>
      <c r="AB341" s="432">
        <v>0</v>
      </c>
      <c r="AC341" s="432">
        <v>0</v>
      </c>
      <c r="AD341" s="432">
        <v>0</v>
      </c>
      <c r="AE341" s="432">
        <v>0</v>
      </c>
      <c r="AF341" s="432">
        <v>0</v>
      </c>
      <c r="AG341" s="432">
        <v>0</v>
      </c>
      <c r="AH341" s="432">
        <v>0</v>
      </c>
      <c r="AI341" s="158">
        <v>610335</v>
      </c>
      <c r="AJ341" s="158">
        <v>0</v>
      </c>
      <c r="AK341" s="158">
        <v>610335</v>
      </c>
      <c r="AL341" s="158">
        <v>610335</v>
      </c>
      <c r="AM341" s="158">
        <v>8398079.9999999981</v>
      </c>
      <c r="AN341" s="158">
        <v>610335</v>
      </c>
      <c r="AO341" s="158">
        <v>610335</v>
      </c>
      <c r="AP341" s="158">
        <v>610000</v>
      </c>
      <c r="AQ341" s="432">
        <v>0</v>
      </c>
      <c r="AR341" s="432">
        <v>0</v>
      </c>
      <c r="AS341" s="432">
        <v>0</v>
      </c>
      <c r="AT341" s="432">
        <v>0</v>
      </c>
      <c r="AU341" s="432">
        <v>0</v>
      </c>
      <c r="AV341" s="432">
        <v>0</v>
      </c>
      <c r="AW341" s="432">
        <v>0</v>
      </c>
      <c r="AX341" s="432">
        <v>0</v>
      </c>
      <c r="AY341" s="158">
        <v>0</v>
      </c>
      <c r="AZ341" s="158">
        <v>0</v>
      </c>
      <c r="BA341" s="158">
        <v>0</v>
      </c>
      <c r="BB341" s="158">
        <v>0</v>
      </c>
      <c r="BC341" s="158">
        <v>0</v>
      </c>
      <c r="BD341" s="158">
        <v>0</v>
      </c>
      <c r="BE341" s="158">
        <v>0</v>
      </c>
      <c r="BF341" s="160">
        <v>0</v>
      </c>
      <c r="BG341" s="383">
        <v>2023</v>
      </c>
      <c r="BH341" s="383">
        <v>1</v>
      </c>
      <c r="BI341" s="383">
        <v>19</v>
      </c>
      <c r="BJ341" s="148"/>
      <c r="BK341" s="147" t="str">
        <f>IF(R341=SUM(Z341,AH341,AP341,AX341,BF341),"○","×")</f>
        <v>○</v>
      </c>
    </row>
    <row r="342" spans="1:63" x14ac:dyDescent="0.2">
      <c r="A342" s="428">
        <v>1538</v>
      </c>
      <c r="B342" s="429"/>
      <c r="C342" s="430"/>
      <c r="D342" s="429"/>
      <c r="E342" s="430"/>
      <c r="F342" s="429"/>
      <c r="G342" s="429"/>
      <c r="H342" s="430"/>
      <c r="I342" s="429"/>
      <c r="J342" s="429"/>
      <c r="K342" s="429"/>
      <c r="L342" s="383"/>
      <c r="M342" s="383" t="s">
        <v>780</v>
      </c>
      <c r="N342" s="383" t="s">
        <v>360</v>
      </c>
      <c r="O342" s="383" t="s">
        <v>330</v>
      </c>
      <c r="P342" s="383" t="s">
        <v>970</v>
      </c>
      <c r="Q342" s="383"/>
      <c r="R342" s="431">
        <v>70000</v>
      </c>
      <c r="S342" s="158">
        <v>0</v>
      </c>
      <c r="T342" s="158">
        <v>0</v>
      </c>
      <c r="U342" s="158">
        <v>0</v>
      </c>
      <c r="V342" s="158">
        <v>0</v>
      </c>
      <c r="W342" s="158">
        <v>0</v>
      </c>
      <c r="X342" s="158">
        <v>0</v>
      </c>
      <c r="Y342" s="158">
        <v>0</v>
      </c>
      <c r="Z342" s="158">
        <v>0</v>
      </c>
      <c r="AA342" s="432">
        <v>0</v>
      </c>
      <c r="AB342" s="432">
        <v>0</v>
      </c>
      <c r="AC342" s="432">
        <v>0</v>
      </c>
      <c r="AD342" s="432">
        <v>0</v>
      </c>
      <c r="AE342" s="432">
        <v>0</v>
      </c>
      <c r="AF342" s="432">
        <v>0</v>
      </c>
      <c r="AG342" s="432">
        <v>0</v>
      </c>
      <c r="AH342" s="432">
        <v>0</v>
      </c>
      <c r="AI342" s="158">
        <v>70576</v>
      </c>
      <c r="AJ342" s="158">
        <v>0</v>
      </c>
      <c r="AK342" s="158">
        <v>70576</v>
      </c>
      <c r="AL342" s="158">
        <v>70576</v>
      </c>
      <c r="AM342" s="158">
        <v>1306800</v>
      </c>
      <c r="AN342" s="158">
        <v>70576</v>
      </c>
      <c r="AO342" s="158">
        <v>70576</v>
      </c>
      <c r="AP342" s="158">
        <v>70000</v>
      </c>
      <c r="AQ342" s="432">
        <v>0</v>
      </c>
      <c r="AR342" s="432">
        <v>0</v>
      </c>
      <c r="AS342" s="432">
        <v>0</v>
      </c>
      <c r="AT342" s="432">
        <v>0</v>
      </c>
      <c r="AU342" s="432">
        <v>0</v>
      </c>
      <c r="AV342" s="432">
        <v>0</v>
      </c>
      <c r="AW342" s="432">
        <v>0</v>
      </c>
      <c r="AX342" s="432">
        <v>0</v>
      </c>
      <c r="AY342" s="158">
        <v>0</v>
      </c>
      <c r="AZ342" s="158">
        <v>0</v>
      </c>
      <c r="BA342" s="158">
        <v>0</v>
      </c>
      <c r="BB342" s="158">
        <v>0</v>
      </c>
      <c r="BC342" s="158">
        <v>0</v>
      </c>
      <c r="BD342" s="158">
        <v>0</v>
      </c>
      <c r="BE342" s="158">
        <v>0</v>
      </c>
      <c r="BF342" s="160">
        <v>0</v>
      </c>
      <c r="BG342" s="383">
        <v>2023</v>
      </c>
      <c r="BH342" s="383">
        <v>1</v>
      </c>
      <c r="BI342" s="383">
        <v>19</v>
      </c>
      <c r="BK342" s="147" t="str">
        <f>IF(R342=SUM(Z342,AH342,AP342,AX342,BF342),"○","×")</f>
        <v>○</v>
      </c>
    </row>
    <row r="343" spans="1:63" x14ac:dyDescent="0.2">
      <c r="A343" s="428">
        <v>1539</v>
      </c>
      <c r="B343" s="429"/>
      <c r="C343" s="430"/>
      <c r="D343" s="429"/>
      <c r="E343" s="430"/>
      <c r="F343" s="429"/>
      <c r="G343" s="429"/>
      <c r="H343" s="430"/>
      <c r="I343" s="429"/>
      <c r="J343" s="429"/>
      <c r="K343" s="429"/>
      <c r="L343" s="383"/>
      <c r="M343" s="383" t="s">
        <v>781</v>
      </c>
      <c r="N343" s="383" t="s">
        <v>367</v>
      </c>
      <c r="O343" s="383" t="s">
        <v>551</v>
      </c>
      <c r="P343" s="383" t="s">
        <v>970</v>
      </c>
      <c r="Q343" s="383"/>
      <c r="R343" s="431">
        <v>91000</v>
      </c>
      <c r="S343" s="158">
        <v>0</v>
      </c>
      <c r="T343" s="158">
        <v>0</v>
      </c>
      <c r="U343" s="158">
        <v>0</v>
      </c>
      <c r="V343" s="158">
        <v>0</v>
      </c>
      <c r="W343" s="158">
        <v>0</v>
      </c>
      <c r="X343" s="158">
        <v>0</v>
      </c>
      <c r="Y343" s="158">
        <v>0</v>
      </c>
      <c r="Z343" s="158">
        <v>0</v>
      </c>
      <c r="AA343" s="432">
        <v>0</v>
      </c>
      <c r="AB343" s="432">
        <v>0</v>
      </c>
      <c r="AC343" s="432">
        <v>0</v>
      </c>
      <c r="AD343" s="432">
        <v>0</v>
      </c>
      <c r="AE343" s="432">
        <v>0</v>
      </c>
      <c r="AF343" s="432">
        <v>0</v>
      </c>
      <c r="AG343" s="432">
        <v>0</v>
      </c>
      <c r="AH343" s="432">
        <v>0</v>
      </c>
      <c r="AI343" s="158">
        <v>91600</v>
      </c>
      <c r="AJ343" s="158">
        <v>0</v>
      </c>
      <c r="AK343" s="158">
        <v>91600</v>
      </c>
      <c r="AL343" s="158">
        <v>91600</v>
      </c>
      <c r="AM343" s="158">
        <v>3240000</v>
      </c>
      <c r="AN343" s="158">
        <v>91600</v>
      </c>
      <c r="AO343" s="158">
        <v>91600</v>
      </c>
      <c r="AP343" s="158">
        <v>91000</v>
      </c>
      <c r="AQ343" s="432">
        <v>0</v>
      </c>
      <c r="AR343" s="432">
        <v>0</v>
      </c>
      <c r="AS343" s="432">
        <v>0</v>
      </c>
      <c r="AT343" s="432">
        <v>0</v>
      </c>
      <c r="AU343" s="432">
        <v>0</v>
      </c>
      <c r="AV343" s="432">
        <v>0</v>
      </c>
      <c r="AW343" s="432">
        <v>0</v>
      </c>
      <c r="AX343" s="432">
        <v>0</v>
      </c>
      <c r="AY343" s="158">
        <v>0</v>
      </c>
      <c r="AZ343" s="158">
        <v>0</v>
      </c>
      <c r="BA343" s="158">
        <v>0</v>
      </c>
      <c r="BB343" s="158">
        <v>0</v>
      </c>
      <c r="BC343" s="158">
        <v>0</v>
      </c>
      <c r="BD343" s="158">
        <v>0</v>
      </c>
      <c r="BE343" s="158">
        <v>0</v>
      </c>
      <c r="BF343" s="160">
        <v>0</v>
      </c>
      <c r="BG343" s="383">
        <v>2023</v>
      </c>
      <c r="BH343" s="383">
        <v>1</v>
      </c>
      <c r="BI343" s="383">
        <v>19</v>
      </c>
      <c r="BJ343" s="152"/>
      <c r="BK343" s="147" t="str">
        <f>IF(R343=SUM(Z343,AH343,AP343,AX343,BF343),"○","×")</f>
        <v>○</v>
      </c>
    </row>
    <row r="344" spans="1:63" x14ac:dyDescent="0.2">
      <c r="A344" s="428">
        <v>1540</v>
      </c>
      <c r="B344" s="429"/>
      <c r="C344" s="430"/>
      <c r="D344" s="429"/>
      <c r="E344" s="430"/>
      <c r="F344" s="429"/>
      <c r="G344" s="429"/>
      <c r="H344" s="430"/>
      <c r="I344" s="429"/>
      <c r="J344" s="429"/>
      <c r="K344" s="429"/>
      <c r="L344" s="383"/>
      <c r="M344" s="383" t="s">
        <v>782</v>
      </c>
      <c r="N344" s="383" t="s">
        <v>329</v>
      </c>
      <c r="O344" s="383" t="s">
        <v>617</v>
      </c>
      <c r="P344" s="383" t="s">
        <v>970</v>
      </c>
      <c r="Q344" s="383"/>
      <c r="R344" s="431">
        <v>278000</v>
      </c>
      <c r="S344" s="158">
        <v>0</v>
      </c>
      <c r="T344" s="158">
        <v>0</v>
      </c>
      <c r="U344" s="158">
        <v>0</v>
      </c>
      <c r="V344" s="158">
        <v>0</v>
      </c>
      <c r="W344" s="158">
        <v>0</v>
      </c>
      <c r="X344" s="158">
        <v>0</v>
      </c>
      <c r="Y344" s="158">
        <v>0</v>
      </c>
      <c r="Z344" s="158">
        <v>0</v>
      </c>
      <c r="AA344" s="432">
        <v>0</v>
      </c>
      <c r="AB344" s="432">
        <v>0</v>
      </c>
      <c r="AC344" s="432">
        <v>0</v>
      </c>
      <c r="AD344" s="432">
        <v>0</v>
      </c>
      <c r="AE344" s="432">
        <v>0</v>
      </c>
      <c r="AF344" s="432">
        <v>0</v>
      </c>
      <c r="AG344" s="432">
        <v>0</v>
      </c>
      <c r="AH344" s="432">
        <v>0</v>
      </c>
      <c r="AI344" s="158">
        <v>278812</v>
      </c>
      <c r="AJ344" s="158">
        <v>0</v>
      </c>
      <c r="AK344" s="158">
        <v>278812</v>
      </c>
      <c r="AL344" s="158">
        <v>278812</v>
      </c>
      <c r="AM344" s="158">
        <v>4672800</v>
      </c>
      <c r="AN344" s="158">
        <v>278812</v>
      </c>
      <c r="AO344" s="158">
        <v>278812</v>
      </c>
      <c r="AP344" s="158">
        <v>278000</v>
      </c>
      <c r="AQ344" s="432">
        <v>0</v>
      </c>
      <c r="AR344" s="432">
        <v>0</v>
      </c>
      <c r="AS344" s="432">
        <v>0</v>
      </c>
      <c r="AT344" s="432">
        <v>0</v>
      </c>
      <c r="AU344" s="432">
        <v>0</v>
      </c>
      <c r="AV344" s="432">
        <v>0</v>
      </c>
      <c r="AW344" s="432">
        <v>0</v>
      </c>
      <c r="AX344" s="432">
        <v>0</v>
      </c>
      <c r="AY344" s="158">
        <v>0</v>
      </c>
      <c r="AZ344" s="158">
        <v>0</v>
      </c>
      <c r="BA344" s="158">
        <v>0</v>
      </c>
      <c r="BB344" s="158">
        <v>0</v>
      </c>
      <c r="BC344" s="158">
        <v>0</v>
      </c>
      <c r="BD344" s="158">
        <v>0</v>
      </c>
      <c r="BE344" s="158">
        <v>0</v>
      </c>
      <c r="BF344" s="160">
        <v>0</v>
      </c>
      <c r="BG344" s="383">
        <v>2023</v>
      </c>
      <c r="BH344" s="383">
        <v>1</v>
      </c>
      <c r="BI344" s="383">
        <v>19</v>
      </c>
      <c r="BK344" s="147" t="str">
        <f>IF(R344=SUM(Z344,AH344,AP344,AX344,BF344),"○","×")</f>
        <v>○</v>
      </c>
    </row>
    <row r="345" spans="1:63" x14ac:dyDescent="0.2">
      <c r="A345" s="428">
        <v>1541</v>
      </c>
      <c r="B345" s="429"/>
      <c r="C345" s="430"/>
      <c r="D345" s="429"/>
      <c r="E345" s="430"/>
      <c r="F345" s="429"/>
      <c r="G345" s="429"/>
      <c r="H345" s="430"/>
      <c r="I345" s="429"/>
      <c r="J345" s="429"/>
      <c r="K345" s="429"/>
      <c r="L345" s="383"/>
      <c r="M345" s="383" t="s">
        <v>783</v>
      </c>
      <c r="N345" s="383" t="s">
        <v>350</v>
      </c>
      <c r="O345" s="383" t="s">
        <v>784</v>
      </c>
      <c r="P345" s="383" t="s">
        <v>970</v>
      </c>
      <c r="Q345" s="383"/>
      <c r="R345" s="431">
        <v>164000</v>
      </c>
      <c r="S345" s="158">
        <v>0</v>
      </c>
      <c r="T345" s="158">
        <v>0</v>
      </c>
      <c r="U345" s="158">
        <v>0</v>
      </c>
      <c r="V345" s="158">
        <v>0</v>
      </c>
      <c r="W345" s="158">
        <v>0</v>
      </c>
      <c r="X345" s="158">
        <v>0</v>
      </c>
      <c r="Y345" s="158">
        <v>0</v>
      </c>
      <c r="Z345" s="158">
        <v>0</v>
      </c>
      <c r="AA345" s="432">
        <v>0</v>
      </c>
      <c r="AB345" s="432">
        <v>0</v>
      </c>
      <c r="AC345" s="432">
        <v>0</v>
      </c>
      <c r="AD345" s="432">
        <v>0</v>
      </c>
      <c r="AE345" s="432">
        <v>0</v>
      </c>
      <c r="AF345" s="432">
        <v>0</v>
      </c>
      <c r="AG345" s="432">
        <v>0</v>
      </c>
      <c r="AH345" s="432">
        <v>0</v>
      </c>
      <c r="AI345" s="158">
        <v>164364</v>
      </c>
      <c r="AJ345" s="158">
        <v>0</v>
      </c>
      <c r="AK345" s="158">
        <v>164364</v>
      </c>
      <c r="AL345" s="158">
        <v>164364</v>
      </c>
      <c r="AM345" s="158">
        <v>2628000</v>
      </c>
      <c r="AN345" s="158">
        <v>164364</v>
      </c>
      <c r="AO345" s="158">
        <v>164364</v>
      </c>
      <c r="AP345" s="158">
        <v>164000</v>
      </c>
      <c r="AQ345" s="432">
        <v>0</v>
      </c>
      <c r="AR345" s="432">
        <v>0</v>
      </c>
      <c r="AS345" s="432">
        <v>0</v>
      </c>
      <c r="AT345" s="432">
        <v>0</v>
      </c>
      <c r="AU345" s="432">
        <v>0</v>
      </c>
      <c r="AV345" s="432">
        <v>0</v>
      </c>
      <c r="AW345" s="432">
        <v>0</v>
      </c>
      <c r="AX345" s="432">
        <v>0</v>
      </c>
      <c r="AY345" s="158">
        <v>0</v>
      </c>
      <c r="AZ345" s="158">
        <v>0</v>
      </c>
      <c r="BA345" s="158">
        <v>0</v>
      </c>
      <c r="BB345" s="158">
        <v>0</v>
      </c>
      <c r="BC345" s="158">
        <v>0</v>
      </c>
      <c r="BD345" s="158">
        <v>0</v>
      </c>
      <c r="BE345" s="158">
        <v>0</v>
      </c>
      <c r="BF345" s="160">
        <v>0</v>
      </c>
      <c r="BG345" s="383">
        <v>2023</v>
      </c>
      <c r="BH345" s="383">
        <v>1</v>
      </c>
      <c r="BI345" s="383">
        <v>19</v>
      </c>
      <c r="BK345" s="147" t="str">
        <f>IF(R345=SUM(Z345,AH345,AP345,AX345,BF345),"○","×")</f>
        <v>○</v>
      </c>
    </row>
    <row r="346" spans="1:63" x14ac:dyDescent="0.2">
      <c r="A346" s="428">
        <v>1542</v>
      </c>
      <c r="B346" s="429"/>
      <c r="C346" s="430"/>
      <c r="D346" s="429"/>
      <c r="E346" s="430"/>
      <c r="F346" s="429"/>
      <c r="G346" s="429"/>
      <c r="H346" s="430"/>
      <c r="I346" s="429"/>
      <c r="J346" s="429"/>
      <c r="K346" s="429"/>
      <c r="L346" s="383"/>
      <c r="M346" s="383" t="s">
        <v>566</v>
      </c>
      <c r="N346" s="383" t="s">
        <v>567</v>
      </c>
      <c r="O346" s="383" t="s">
        <v>568</v>
      </c>
      <c r="P346" s="383" t="s">
        <v>970</v>
      </c>
      <c r="Q346" s="383"/>
      <c r="R346" s="431">
        <v>134000</v>
      </c>
      <c r="S346" s="158">
        <v>0</v>
      </c>
      <c r="T346" s="158">
        <v>0</v>
      </c>
      <c r="U346" s="158">
        <v>0</v>
      </c>
      <c r="V346" s="158">
        <v>0</v>
      </c>
      <c r="W346" s="158">
        <v>0</v>
      </c>
      <c r="X346" s="158">
        <v>0</v>
      </c>
      <c r="Y346" s="158">
        <v>0</v>
      </c>
      <c r="Z346" s="158">
        <v>0</v>
      </c>
      <c r="AA346" s="432">
        <v>0</v>
      </c>
      <c r="AB346" s="432">
        <v>0</v>
      </c>
      <c r="AC346" s="432">
        <v>0</v>
      </c>
      <c r="AD346" s="432">
        <v>0</v>
      </c>
      <c r="AE346" s="432">
        <v>0</v>
      </c>
      <c r="AF346" s="432">
        <v>0</v>
      </c>
      <c r="AG346" s="432">
        <v>0</v>
      </c>
      <c r="AH346" s="432">
        <v>0</v>
      </c>
      <c r="AI346" s="158">
        <v>134100</v>
      </c>
      <c r="AJ346" s="158">
        <v>0</v>
      </c>
      <c r="AK346" s="158">
        <v>134100</v>
      </c>
      <c r="AL346" s="158">
        <v>134100</v>
      </c>
      <c r="AM346" s="158">
        <v>856800</v>
      </c>
      <c r="AN346" s="158">
        <v>134100</v>
      </c>
      <c r="AO346" s="158">
        <v>134100</v>
      </c>
      <c r="AP346" s="158">
        <v>134000</v>
      </c>
      <c r="AQ346" s="432">
        <v>0</v>
      </c>
      <c r="AR346" s="432">
        <v>0</v>
      </c>
      <c r="AS346" s="432">
        <v>0</v>
      </c>
      <c r="AT346" s="432">
        <v>0</v>
      </c>
      <c r="AU346" s="432">
        <v>0</v>
      </c>
      <c r="AV346" s="432">
        <v>0</v>
      </c>
      <c r="AW346" s="432">
        <v>0</v>
      </c>
      <c r="AX346" s="432">
        <v>0</v>
      </c>
      <c r="AY346" s="158">
        <v>0</v>
      </c>
      <c r="AZ346" s="158">
        <v>0</v>
      </c>
      <c r="BA346" s="158">
        <v>0</v>
      </c>
      <c r="BB346" s="158">
        <v>0</v>
      </c>
      <c r="BC346" s="158">
        <v>0</v>
      </c>
      <c r="BD346" s="158">
        <v>0</v>
      </c>
      <c r="BE346" s="158">
        <v>0</v>
      </c>
      <c r="BF346" s="160">
        <v>0</v>
      </c>
      <c r="BG346" s="383">
        <v>2023</v>
      </c>
      <c r="BH346" s="383">
        <v>1</v>
      </c>
      <c r="BI346" s="383">
        <v>19</v>
      </c>
      <c r="BK346" s="147" t="str">
        <f>IF(R346=SUM(Z346,AH346,AP346,AX346,BF346),"○","×")</f>
        <v>○</v>
      </c>
    </row>
    <row r="347" spans="1:63" x14ac:dyDescent="0.2">
      <c r="A347" s="428">
        <v>1543</v>
      </c>
      <c r="B347" s="429"/>
      <c r="C347" s="430"/>
      <c r="D347" s="429"/>
      <c r="E347" s="430"/>
      <c r="F347" s="429"/>
      <c r="G347" s="429"/>
      <c r="H347" s="430"/>
      <c r="I347" s="429"/>
      <c r="J347" s="429"/>
      <c r="K347" s="429"/>
      <c r="L347" s="383"/>
      <c r="M347" s="383" t="s">
        <v>785</v>
      </c>
      <c r="N347" s="383" t="s">
        <v>323</v>
      </c>
      <c r="O347" s="383" t="s">
        <v>786</v>
      </c>
      <c r="P347" s="383" t="s">
        <v>970</v>
      </c>
      <c r="Q347" s="383"/>
      <c r="R347" s="431">
        <v>510000</v>
      </c>
      <c r="S347" s="158">
        <v>0</v>
      </c>
      <c r="T347" s="158">
        <v>0</v>
      </c>
      <c r="U347" s="158">
        <v>0</v>
      </c>
      <c r="V347" s="158">
        <v>0</v>
      </c>
      <c r="W347" s="158">
        <v>0</v>
      </c>
      <c r="X347" s="158">
        <v>0</v>
      </c>
      <c r="Y347" s="158">
        <v>0</v>
      </c>
      <c r="Z347" s="158">
        <v>0</v>
      </c>
      <c r="AA347" s="432">
        <v>0</v>
      </c>
      <c r="AB347" s="432">
        <v>0</v>
      </c>
      <c r="AC347" s="432">
        <v>0</v>
      </c>
      <c r="AD347" s="432">
        <v>0</v>
      </c>
      <c r="AE347" s="432">
        <v>0</v>
      </c>
      <c r="AF347" s="432">
        <v>0</v>
      </c>
      <c r="AG347" s="432">
        <v>0</v>
      </c>
      <c r="AH347" s="432">
        <v>0</v>
      </c>
      <c r="AI347" s="158">
        <v>510051</v>
      </c>
      <c r="AJ347" s="158">
        <v>0</v>
      </c>
      <c r="AK347" s="158">
        <v>510051</v>
      </c>
      <c r="AL347" s="158">
        <v>510051</v>
      </c>
      <c r="AM347" s="158">
        <v>957600</v>
      </c>
      <c r="AN347" s="158">
        <v>510051</v>
      </c>
      <c r="AO347" s="158">
        <v>510051</v>
      </c>
      <c r="AP347" s="158">
        <v>510000</v>
      </c>
      <c r="AQ347" s="432">
        <v>0</v>
      </c>
      <c r="AR347" s="432">
        <v>0</v>
      </c>
      <c r="AS347" s="432">
        <v>0</v>
      </c>
      <c r="AT347" s="432">
        <v>0</v>
      </c>
      <c r="AU347" s="432">
        <v>0</v>
      </c>
      <c r="AV347" s="432">
        <v>0</v>
      </c>
      <c r="AW347" s="432">
        <v>0</v>
      </c>
      <c r="AX347" s="432">
        <v>0</v>
      </c>
      <c r="AY347" s="158">
        <v>0</v>
      </c>
      <c r="AZ347" s="158">
        <v>0</v>
      </c>
      <c r="BA347" s="158">
        <v>0</v>
      </c>
      <c r="BB347" s="158">
        <v>0</v>
      </c>
      <c r="BC347" s="158">
        <v>0</v>
      </c>
      <c r="BD347" s="158">
        <v>0</v>
      </c>
      <c r="BE347" s="158">
        <v>0</v>
      </c>
      <c r="BF347" s="160">
        <v>0</v>
      </c>
      <c r="BG347" s="383">
        <v>2023</v>
      </c>
      <c r="BH347" s="383">
        <v>1</v>
      </c>
      <c r="BI347" s="383">
        <v>19</v>
      </c>
      <c r="BK347" s="147" t="str">
        <f>IF(R347=SUM(Z347,AH347,AP347,AX347,BF347),"○","×")</f>
        <v>○</v>
      </c>
    </row>
    <row r="348" spans="1:63" x14ac:dyDescent="0.2">
      <c r="A348" s="428">
        <v>1544</v>
      </c>
      <c r="B348" s="429"/>
      <c r="C348" s="430"/>
      <c r="D348" s="429"/>
      <c r="E348" s="430"/>
      <c r="F348" s="429"/>
      <c r="G348" s="429"/>
      <c r="H348" s="430"/>
      <c r="I348" s="429"/>
      <c r="J348" s="429"/>
      <c r="K348" s="429"/>
      <c r="L348" s="383"/>
      <c r="M348" s="383" t="s">
        <v>787</v>
      </c>
      <c r="N348" s="383" t="s">
        <v>427</v>
      </c>
      <c r="O348" s="383" t="s">
        <v>406</v>
      </c>
      <c r="P348" s="383" t="s">
        <v>970</v>
      </c>
      <c r="Q348" s="383"/>
      <c r="R348" s="431">
        <v>487000</v>
      </c>
      <c r="S348" s="158">
        <v>0</v>
      </c>
      <c r="T348" s="158">
        <v>0</v>
      </c>
      <c r="U348" s="158">
        <v>0</v>
      </c>
      <c r="V348" s="158">
        <v>0</v>
      </c>
      <c r="W348" s="158">
        <v>0</v>
      </c>
      <c r="X348" s="158">
        <v>0</v>
      </c>
      <c r="Y348" s="158">
        <v>0</v>
      </c>
      <c r="Z348" s="158">
        <v>0</v>
      </c>
      <c r="AA348" s="432">
        <v>0</v>
      </c>
      <c r="AB348" s="432">
        <v>0</v>
      </c>
      <c r="AC348" s="432">
        <v>0</v>
      </c>
      <c r="AD348" s="432">
        <v>0</v>
      </c>
      <c r="AE348" s="432">
        <v>0</v>
      </c>
      <c r="AF348" s="432">
        <v>0</v>
      </c>
      <c r="AG348" s="432">
        <v>0</v>
      </c>
      <c r="AH348" s="432">
        <v>0</v>
      </c>
      <c r="AI348" s="158">
        <v>487300</v>
      </c>
      <c r="AJ348" s="158">
        <v>0</v>
      </c>
      <c r="AK348" s="158">
        <v>487300</v>
      </c>
      <c r="AL348" s="158">
        <v>487300</v>
      </c>
      <c r="AM348" s="158">
        <v>2232000</v>
      </c>
      <c r="AN348" s="158">
        <v>487300</v>
      </c>
      <c r="AO348" s="158">
        <v>487300</v>
      </c>
      <c r="AP348" s="158">
        <v>487000</v>
      </c>
      <c r="AQ348" s="432">
        <v>0</v>
      </c>
      <c r="AR348" s="432">
        <v>0</v>
      </c>
      <c r="AS348" s="432">
        <v>0</v>
      </c>
      <c r="AT348" s="432">
        <v>0</v>
      </c>
      <c r="AU348" s="432">
        <v>0</v>
      </c>
      <c r="AV348" s="432">
        <v>0</v>
      </c>
      <c r="AW348" s="432">
        <v>0</v>
      </c>
      <c r="AX348" s="432">
        <v>0</v>
      </c>
      <c r="AY348" s="158">
        <v>0</v>
      </c>
      <c r="AZ348" s="158">
        <v>0</v>
      </c>
      <c r="BA348" s="158">
        <v>0</v>
      </c>
      <c r="BB348" s="158">
        <v>0</v>
      </c>
      <c r="BC348" s="158">
        <v>0</v>
      </c>
      <c r="BD348" s="158">
        <v>0</v>
      </c>
      <c r="BE348" s="158">
        <v>0</v>
      </c>
      <c r="BF348" s="160">
        <v>0</v>
      </c>
      <c r="BG348" s="383">
        <v>2023</v>
      </c>
      <c r="BH348" s="383">
        <v>1</v>
      </c>
      <c r="BI348" s="383">
        <v>19</v>
      </c>
      <c r="BK348" s="147" t="str">
        <f>IF(R348=SUM(Z348,AH348,AP348,AX348,BF348),"○","×")</f>
        <v>○</v>
      </c>
    </row>
    <row r="349" spans="1:63" x14ac:dyDescent="0.2">
      <c r="A349" s="428">
        <v>1545</v>
      </c>
      <c r="B349" s="429"/>
      <c r="C349" s="430"/>
      <c r="D349" s="429"/>
      <c r="E349" s="430"/>
      <c r="F349" s="429"/>
      <c r="G349" s="429"/>
      <c r="H349" s="430"/>
      <c r="I349" s="429"/>
      <c r="J349" s="429"/>
      <c r="K349" s="429"/>
      <c r="L349" s="383"/>
      <c r="M349" s="383" t="s">
        <v>788</v>
      </c>
      <c r="N349" s="383" t="s">
        <v>329</v>
      </c>
      <c r="O349" s="383" t="s">
        <v>789</v>
      </c>
      <c r="P349" s="383" t="s">
        <v>970</v>
      </c>
      <c r="Q349" s="383"/>
      <c r="R349" s="431">
        <v>47000</v>
      </c>
      <c r="S349" s="158">
        <v>0</v>
      </c>
      <c r="T349" s="158">
        <v>0</v>
      </c>
      <c r="U349" s="158">
        <v>0</v>
      </c>
      <c r="V349" s="158">
        <v>0</v>
      </c>
      <c r="W349" s="158">
        <v>0</v>
      </c>
      <c r="X349" s="158">
        <v>0</v>
      </c>
      <c r="Y349" s="158">
        <v>0</v>
      </c>
      <c r="Z349" s="158">
        <v>0</v>
      </c>
      <c r="AA349" s="432">
        <v>0</v>
      </c>
      <c r="AB349" s="432">
        <v>0</v>
      </c>
      <c r="AC349" s="432">
        <v>0</v>
      </c>
      <c r="AD349" s="432">
        <v>0</v>
      </c>
      <c r="AE349" s="432">
        <v>0</v>
      </c>
      <c r="AF349" s="432">
        <v>0</v>
      </c>
      <c r="AG349" s="432">
        <v>0</v>
      </c>
      <c r="AH349" s="432">
        <v>0</v>
      </c>
      <c r="AI349" s="158">
        <v>47840</v>
      </c>
      <c r="AJ349" s="158">
        <v>0</v>
      </c>
      <c r="AK349" s="158">
        <v>47840</v>
      </c>
      <c r="AL349" s="158">
        <v>47840</v>
      </c>
      <c r="AM349" s="158">
        <v>5241600</v>
      </c>
      <c r="AN349" s="158">
        <v>47840</v>
      </c>
      <c r="AO349" s="158">
        <v>47840</v>
      </c>
      <c r="AP349" s="158">
        <v>47000</v>
      </c>
      <c r="AQ349" s="432">
        <v>0</v>
      </c>
      <c r="AR349" s="432">
        <v>0</v>
      </c>
      <c r="AS349" s="432">
        <v>0</v>
      </c>
      <c r="AT349" s="432">
        <v>0</v>
      </c>
      <c r="AU349" s="432">
        <v>0</v>
      </c>
      <c r="AV349" s="432">
        <v>0</v>
      </c>
      <c r="AW349" s="432">
        <v>0</v>
      </c>
      <c r="AX349" s="432">
        <v>0</v>
      </c>
      <c r="AY349" s="158">
        <v>0</v>
      </c>
      <c r="AZ349" s="158">
        <v>0</v>
      </c>
      <c r="BA349" s="158">
        <v>0</v>
      </c>
      <c r="BB349" s="158">
        <v>0</v>
      </c>
      <c r="BC349" s="158">
        <v>0</v>
      </c>
      <c r="BD349" s="158">
        <v>0</v>
      </c>
      <c r="BE349" s="158">
        <v>0</v>
      </c>
      <c r="BF349" s="160">
        <v>0</v>
      </c>
      <c r="BG349" s="383">
        <v>2023</v>
      </c>
      <c r="BH349" s="383">
        <v>1</v>
      </c>
      <c r="BI349" s="383">
        <v>19</v>
      </c>
      <c r="BK349" s="147" t="str">
        <f>IF(R349=SUM(Z349,AH349,AP349,AX349,BF349),"○","×")</f>
        <v>○</v>
      </c>
    </row>
    <row r="350" spans="1:63" x14ac:dyDescent="0.2">
      <c r="A350" s="428">
        <v>1546</v>
      </c>
      <c r="B350" s="429"/>
      <c r="C350" s="430"/>
      <c r="D350" s="429"/>
      <c r="E350" s="430"/>
      <c r="F350" s="429"/>
      <c r="G350" s="429"/>
      <c r="H350" s="430"/>
      <c r="I350" s="429"/>
      <c r="J350" s="429"/>
      <c r="K350" s="429"/>
      <c r="L350" s="383"/>
      <c r="M350" s="383" t="s">
        <v>790</v>
      </c>
      <c r="N350" s="383" t="s">
        <v>323</v>
      </c>
      <c r="O350" s="383" t="s">
        <v>791</v>
      </c>
      <c r="P350" s="383" t="s">
        <v>970</v>
      </c>
      <c r="Q350" s="383"/>
      <c r="R350" s="431">
        <v>282000</v>
      </c>
      <c r="S350" s="158">
        <v>0</v>
      </c>
      <c r="T350" s="158">
        <v>0</v>
      </c>
      <c r="U350" s="158">
        <v>0</v>
      </c>
      <c r="V350" s="158">
        <v>0</v>
      </c>
      <c r="W350" s="158">
        <v>0</v>
      </c>
      <c r="X350" s="158">
        <v>0</v>
      </c>
      <c r="Y350" s="158">
        <v>0</v>
      </c>
      <c r="Z350" s="158">
        <v>0</v>
      </c>
      <c r="AA350" s="432">
        <v>0</v>
      </c>
      <c r="AB350" s="432">
        <v>0</v>
      </c>
      <c r="AC350" s="432">
        <v>0</v>
      </c>
      <c r="AD350" s="432">
        <v>0</v>
      </c>
      <c r="AE350" s="432">
        <v>0</v>
      </c>
      <c r="AF350" s="432">
        <v>0</v>
      </c>
      <c r="AG350" s="432">
        <v>0</v>
      </c>
      <c r="AH350" s="432">
        <v>0</v>
      </c>
      <c r="AI350" s="158">
        <v>282672</v>
      </c>
      <c r="AJ350" s="158">
        <v>0</v>
      </c>
      <c r="AK350" s="158">
        <v>282672</v>
      </c>
      <c r="AL350" s="158">
        <v>282672</v>
      </c>
      <c r="AM350" s="158">
        <v>856800</v>
      </c>
      <c r="AN350" s="158">
        <v>282672</v>
      </c>
      <c r="AO350" s="158">
        <v>282672</v>
      </c>
      <c r="AP350" s="158">
        <v>282000</v>
      </c>
      <c r="AQ350" s="432">
        <v>0</v>
      </c>
      <c r="AR350" s="432">
        <v>0</v>
      </c>
      <c r="AS350" s="432">
        <v>0</v>
      </c>
      <c r="AT350" s="432">
        <v>0</v>
      </c>
      <c r="AU350" s="432">
        <v>0</v>
      </c>
      <c r="AV350" s="432">
        <v>0</v>
      </c>
      <c r="AW350" s="432">
        <v>0</v>
      </c>
      <c r="AX350" s="432">
        <v>0</v>
      </c>
      <c r="AY350" s="158">
        <v>0</v>
      </c>
      <c r="AZ350" s="158">
        <v>0</v>
      </c>
      <c r="BA350" s="158">
        <v>0</v>
      </c>
      <c r="BB350" s="158">
        <v>0</v>
      </c>
      <c r="BC350" s="158">
        <v>0</v>
      </c>
      <c r="BD350" s="158">
        <v>0</v>
      </c>
      <c r="BE350" s="158">
        <v>0</v>
      </c>
      <c r="BF350" s="160">
        <v>0</v>
      </c>
      <c r="BG350" s="383">
        <v>2023</v>
      </c>
      <c r="BH350" s="383">
        <v>1</v>
      </c>
      <c r="BI350" s="383">
        <v>19</v>
      </c>
      <c r="BK350" s="147" t="str">
        <f>IF(R350=SUM(Z350,AH350,AP350,AX350,BF350),"○","×")</f>
        <v>○</v>
      </c>
    </row>
    <row r="351" spans="1:63" x14ac:dyDescent="0.2">
      <c r="A351" s="428">
        <v>1547</v>
      </c>
      <c r="B351" s="429"/>
      <c r="C351" s="430"/>
      <c r="D351" s="429"/>
      <c r="E351" s="430"/>
      <c r="F351" s="429"/>
      <c r="G351" s="429"/>
      <c r="H351" s="430"/>
      <c r="I351" s="429"/>
      <c r="J351" s="429"/>
      <c r="K351" s="429"/>
      <c r="L351" s="383"/>
      <c r="M351" s="383" t="s">
        <v>446</v>
      </c>
      <c r="N351" s="383" t="s">
        <v>447</v>
      </c>
      <c r="O351" s="383" t="s">
        <v>448</v>
      </c>
      <c r="P351" s="383" t="s">
        <v>970</v>
      </c>
      <c r="Q351" s="383"/>
      <c r="R351" s="431">
        <v>401000</v>
      </c>
      <c r="S351" s="158">
        <v>0</v>
      </c>
      <c r="T351" s="158">
        <v>0</v>
      </c>
      <c r="U351" s="158">
        <v>0</v>
      </c>
      <c r="V351" s="158">
        <v>0</v>
      </c>
      <c r="W351" s="158">
        <v>0</v>
      </c>
      <c r="X351" s="158">
        <v>0</v>
      </c>
      <c r="Y351" s="158">
        <v>0</v>
      </c>
      <c r="Z351" s="158">
        <v>0</v>
      </c>
      <c r="AA351" s="432">
        <v>0</v>
      </c>
      <c r="AB351" s="432">
        <v>0</v>
      </c>
      <c r="AC351" s="432">
        <v>0</v>
      </c>
      <c r="AD351" s="432">
        <v>0</v>
      </c>
      <c r="AE351" s="432">
        <v>0</v>
      </c>
      <c r="AF351" s="432">
        <v>0</v>
      </c>
      <c r="AG351" s="432">
        <v>0</v>
      </c>
      <c r="AH351" s="432">
        <v>0</v>
      </c>
      <c r="AI351" s="158">
        <v>401388</v>
      </c>
      <c r="AJ351" s="158">
        <v>0</v>
      </c>
      <c r="AK351" s="158">
        <v>401388</v>
      </c>
      <c r="AL351" s="158">
        <v>401388</v>
      </c>
      <c r="AM351" s="158">
        <v>1306800</v>
      </c>
      <c r="AN351" s="158">
        <v>401388</v>
      </c>
      <c r="AO351" s="158">
        <v>401388</v>
      </c>
      <c r="AP351" s="158">
        <v>401000</v>
      </c>
      <c r="AQ351" s="432">
        <v>0</v>
      </c>
      <c r="AR351" s="432">
        <v>0</v>
      </c>
      <c r="AS351" s="432">
        <v>0</v>
      </c>
      <c r="AT351" s="432">
        <v>0</v>
      </c>
      <c r="AU351" s="432">
        <v>0</v>
      </c>
      <c r="AV351" s="432">
        <v>0</v>
      </c>
      <c r="AW351" s="432">
        <v>0</v>
      </c>
      <c r="AX351" s="432">
        <v>0</v>
      </c>
      <c r="AY351" s="158">
        <v>0</v>
      </c>
      <c r="AZ351" s="158">
        <v>0</v>
      </c>
      <c r="BA351" s="158">
        <v>0</v>
      </c>
      <c r="BB351" s="158">
        <v>0</v>
      </c>
      <c r="BC351" s="158">
        <v>0</v>
      </c>
      <c r="BD351" s="158">
        <v>0</v>
      </c>
      <c r="BE351" s="158">
        <v>0</v>
      </c>
      <c r="BF351" s="160">
        <v>0</v>
      </c>
      <c r="BG351" s="383">
        <v>2023</v>
      </c>
      <c r="BH351" s="383">
        <v>1</v>
      </c>
      <c r="BI351" s="383">
        <v>19</v>
      </c>
      <c r="BK351" s="147" t="str">
        <f>IF(R351=SUM(Z351,AH351,AP351,AX351,BF351),"○","×")</f>
        <v>○</v>
      </c>
    </row>
    <row r="352" spans="1:63" x14ac:dyDescent="0.2">
      <c r="A352" s="428">
        <v>1548</v>
      </c>
      <c r="B352" s="429"/>
      <c r="C352" s="430"/>
      <c r="D352" s="429"/>
      <c r="E352" s="430"/>
      <c r="F352" s="429"/>
      <c r="G352" s="429"/>
      <c r="H352" s="430"/>
      <c r="I352" s="429"/>
      <c r="J352" s="429"/>
      <c r="K352" s="429"/>
      <c r="L352" s="383"/>
      <c r="M352" s="383" t="s">
        <v>792</v>
      </c>
      <c r="N352" s="383" t="s">
        <v>326</v>
      </c>
      <c r="O352" s="383" t="s">
        <v>793</v>
      </c>
      <c r="P352" s="383" t="s">
        <v>970</v>
      </c>
      <c r="Q352" s="383"/>
      <c r="R352" s="431">
        <v>381000</v>
      </c>
      <c r="S352" s="158">
        <v>0</v>
      </c>
      <c r="T352" s="158">
        <v>0</v>
      </c>
      <c r="U352" s="158">
        <v>0</v>
      </c>
      <c r="V352" s="158">
        <v>0</v>
      </c>
      <c r="W352" s="158">
        <v>0</v>
      </c>
      <c r="X352" s="158">
        <v>0</v>
      </c>
      <c r="Y352" s="158">
        <v>0</v>
      </c>
      <c r="Z352" s="158">
        <v>0</v>
      </c>
      <c r="AA352" s="432">
        <v>0</v>
      </c>
      <c r="AB352" s="432">
        <v>0</v>
      </c>
      <c r="AC352" s="432">
        <v>0</v>
      </c>
      <c r="AD352" s="432">
        <v>0</v>
      </c>
      <c r="AE352" s="432">
        <v>0</v>
      </c>
      <c r="AF352" s="432">
        <v>0</v>
      </c>
      <c r="AG352" s="432">
        <v>0</v>
      </c>
      <c r="AH352" s="432">
        <v>0</v>
      </c>
      <c r="AI352" s="158">
        <v>381260</v>
      </c>
      <c r="AJ352" s="158">
        <v>0</v>
      </c>
      <c r="AK352" s="158">
        <v>381260</v>
      </c>
      <c r="AL352" s="158">
        <v>381260</v>
      </c>
      <c r="AM352" s="158">
        <v>5148000</v>
      </c>
      <c r="AN352" s="158">
        <v>381260</v>
      </c>
      <c r="AO352" s="158">
        <v>381260</v>
      </c>
      <c r="AP352" s="158">
        <v>381000</v>
      </c>
      <c r="AQ352" s="432">
        <v>0</v>
      </c>
      <c r="AR352" s="432">
        <v>0</v>
      </c>
      <c r="AS352" s="432">
        <v>0</v>
      </c>
      <c r="AT352" s="432">
        <v>0</v>
      </c>
      <c r="AU352" s="432">
        <v>0</v>
      </c>
      <c r="AV352" s="432">
        <v>0</v>
      </c>
      <c r="AW352" s="432">
        <v>0</v>
      </c>
      <c r="AX352" s="432">
        <v>0</v>
      </c>
      <c r="AY352" s="158">
        <v>0</v>
      </c>
      <c r="AZ352" s="158">
        <v>0</v>
      </c>
      <c r="BA352" s="158">
        <v>0</v>
      </c>
      <c r="BB352" s="158">
        <v>0</v>
      </c>
      <c r="BC352" s="158">
        <v>0</v>
      </c>
      <c r="BD352" s="158">
        <v>0</v>
      </c>
      <c r="BE352" s="158">
        <v>0</v>
      </c>
      <c r="BF352" s="160">
        <v>0</v>
      </c>
      <c r="BG352" s="383">
        <v>2023</v>
      </c>
      <c r="BH352" s="383">
        <v>1</v>
      </c>
      <c r="BI352" s="383">
        <v>19</v>
      </c>
      <c r="BK352" s="147" t="str">
        <f>IF(R352=SUM(Z352,AH352,AP352,AX352,BF352),"○","×")</f>
        <v>○</v>
      </c>
    </row>
    <row r="353" spans="1:63" x14ac:dyDescent="0.2">
      <c r="A353" s="428">
        <v>1549</v>
      </c>
      <c r="B353" s="429"/>
      <c r="C353" s="430"/>
      <c r="D353" s="429"/>
      <c r="E353" s="430"/>
      <c r="F353" s="429"/>
      <c r="G353" s="429"/>
      <c r="H353" s="430"/>
      <c r="I353" s="429"/>
      <c r="J353" s="429"/>
      <c r="K353" s="429"/>
      <c r="L353" s="383"/>
      <c r="M353" s="383" t="s">
        <v>794</v>
      </c>
      <c r="N353" s="383" t="s">
        <v>326</v>
      </c>
      <c r="O353" s="383" t="s">
        <v>795</v>
      </c>
      <c r="P353" s="383" t="s">
        <v>970</v>
      </c>
      <c r="Q353" s="146"/>
      <c r="R353" s="431">
        <v>133000</v>
      </c>
      <c r="S353" s="158">
        <v>0</v>
      </c>
      <c r="T353" s="158">
        <v>0</v>
      </c>
      <c r="U353" s="158">
        <v>0</v>
      </c>
      <c r="V353" s="158">
        <v>0</v>
      </c>
      <c r="W353" s="158">
        <v>0</v>
      </c>
      <c r="X353" s="158">
        <v>0</v>
      </c>
      <c r="Y353" s="158">
        <v>0</v>
      </c>
      <c r="Z353" s="158">
        <v>0</v>
      </c>
      <c r="AA353" s="432">
        <v>0</v>
      </c>
      <c r="AB353" s="432">
        <v>0</v>
      </c>
      <c r="AC353" s="432">
        <v>0</v>
      </c>
      <c r="AD353" s="432">
        <v>0</v>
      </c>
      <c r="AE353" s="432">
        <v>0</v>
      </c>
      <c r="AF353" s="432">
        <v>0</v>
      </c>
      <c r="AG353" s="432">
        <v>0</v>
      </c>
      <c r="AH353" s="432">
        <v>0</v>
      </c>
      <c r="AI353" s="158">
        <v>133470</v>
      </c>
      <c r="AJ353" s="158">
        <v>0</v>
      </c>
      <c r="AK353" s="158">
        <v>133470</v>
      </c>
      <c r="AL353" s="158">
        <v>133470</v>
      </c>
      <c r="AM353" s="158">
        <v>3024000</v>
      </c>
      <c r="AN353" s="158">
        <v>133470</v>
      </c>
      <c r="AO353" s="158">
        <v>133470</v>
      </c>
      <c r="AP353" s="158">
        <v>133000</v>
      </c>
      <c r="AQ353" s="432">
        <v>0</v>
      </c>
      <c r="AR353" s="432">
        <v>0</v>
      </c>
      <c r="AS353" s="432">
        <v>0</v>
      </c>
      <c r="AT353" s="432">
        <v>0</v>
      </c>
      <c r="AU353" s="432">
        <v>0</v>
      </c>
      <c r="AV353" s="432">
        <v>0</v>
      </c>
      <c r="AW353" s="432">
        <v>0</v>
      </c>
      <c r="AX353" s="432">
        <v>0</v>
      </c>
      <c r="AY353" s="158">
        <v>0</v>
      </c>
      <c r="AZ353" s="158">
        <v>0</v>
      </c>
      <c r="BA353" s="158">
        <v>0</v>
      </c>
      <c r="BB353" s="158">
        <v>0</v>
      </c>
      <c r="BC353" s="158">
        <v>0</v>
      </c>
      <c r="BD353" s="158">
        <v>0</v>
      </c>
      <c r="BE353" s="158">
        <v>0</v>
      </c>
      <c r="BF353" s="160">
        <v>0</v>
      </c>
      <c r="BG353" s="383">
        <v>2023</v>
      </c>
      <c r="BH353" s="383">
        <v>1</v>
      </c>
      <c r="BI353" s="383">
        <v>19</v>
      </c>
      <c r="BK353" s="147" t="str">
        <f>IF(R353=SUM(Z353,AH353,AP353,AX353,BF353),"○","×")</f>
        <v>○</v>
      </c>
    </row>
    <row r="354" spans="1:63" s="152" customFormat="1" x14ac:dyDescent="0.2">
      <c r="A354" s="428">
        <v>1550</v>
      </c>
      <c r="B354" s="429"/>
      <c r="C354" s="430"/>
      <c r="D354" s="429"/>
      <c r="E354" s="430"/>
      <c r="F354" s="429"/>
      <c r="G354" s="429"/>
      <c r="H354" s="430"/>
      <c r="I354" s="429"/>
      <c r="J354" s="429"/>
      <c r="K354" s="429"/>
      <c r="L354" s="383"/>
      <c r="M354" s="383" t="s">
        <v>616</v>
      </c>
      <c r="N354" s="383" t="s">
        <v>323</v>
      </c>
      <c r="O354" s="383" t="s">
        <v>617</v>
      </c>
      <c r="P354" s="383" t="s">
        <v>970</v>
      </c>
      <c r="Q354" s="383"/>
      <c r="R354" s="431">
        <v>462000</v>
      </c>
      <c r="S354" s="158">
        <v>0</v>
      </c>
      <c r="T354" s="158">
        <v>0</v>
      </c>
      <c r="U354" s="158">
        <v>0</v>
      </c>
      <c r="V354" s="158">
        <v>0</v>
      </c>
      <c r="W354" s="158">
        <v>0</v>
      </c>
      <c r="X354" s="158">
        <v>0</v>
      </c>
      <c r="Y354" s="158">
        <v>0</v>
      </c>
      <c r="Z354" s="158">
        <v>0</v>
      </c>
      <c r="AA354" s="432">
        <v>0</v>
      </c>
      <c r="AB354" s="432">
        <v>0</v>
      </c>
      <c r="AC354" s="432">
        <v>0</v>
      </c>
      <c r="AD354" s="432">
        <v>0</v>
      </c>
      <c r="AE354" s="432">
        <v>0</v>
      </c>
      <c r="AF354" s="432">
        <v>0</v>
      </c>
      <c r="AG354" s="432">
        <v>0</v>
      </c>
      <c r="AH354" s="432">
        <v>0</v>
      </c>
      <c r="AI354" s="158">
        <v>462550</v>
      </c>
      <c r="AJ354" s="158">
        <v>0</v>
      </c>
      <c r="AK354" s="158">
        <v>462550</v>
      </c>
      <c r="AL354" s="158">
        <v>462550</v>
      </c>
      <c r="AM354" s="158">
        <v>1044000</v>
      </c>
      <c r="AN354" s="158">
        <v>462550</v>
      </c>
      <c r="AO354" s="158">
        <v>462550</v>
      </c>
      <c r="AP354" s="158">
        <v>462000</v>
      </c>
      <c r="AQ354" s="432">
        <v>0</v>
      </c>
      <c r="AR354" s="432">
        <v>0</v>
      </c>
      <c r="AS354" s="432">
        <v>0</v>
      </c>
      <c r="AT354" s="432">
        <v>0</v>
      </c>
      <c r="AU354" s="432">
        <v>0</v>
      </c>
      <c r="AV354" s="432">
        <v>0</v>
      </c>
      <c r="AW354" s="432">
        <v>0</v>
      </c>
      <c r="AX354" s="432">
        <v>0</v>
      </c>
      <c r="AY354" s="158">
        <v>0</v>
      </c>
      <c r="AZ354" s="158">
        <v>0</v>
      </c>
      <c r="BA354" s="158">
        <v>0</v>
      </c>
      <c r="BB354" s="158">
        <v>0</v>
      </c>
      <c r="BC354" s="158">
        <v>0</v>
      </c>
      <c r="BD354" s="158">
        <v>0</v>
      </c>
      <c r="BE354" s="158">
        <v>0</v>
      </c>
      <c r="BF354" s="160">
        <v>0</v>
      </c>
      <c r="BG354" s="383">
        <v>2023</v>
      </c>
      <c r="BH354" s="383">
        <v>1</v>
      </c>
      <c r="BI354" s="383">
        <v>19</v>
      </c>
      <c r="BJ354" s="148"/>
      <c r="BK354" s="147" t="str">
        <f>IF(R354=SUM(Z354,AH354,AP354,AX354,BF354),"○","×")</f>
        <v>○</v>
      </c>
    </row>
    <row r="355" spans="1:63" x14ac:dyDescent="0.2">
      <c r="A355" s="428">
        <v>1551</v>
      </c>
      <c r="B355" s="429"/>
      <c r="C355" s="430"/>
      <c r="D355" s="429"/>
      <c r="E355" s="430"/>
      <c r="F355" s="429"/>
      <c r="G355" s="429"/>
      <c r="H355" s="430"/>
      <c r="I355" s="429"/>
      <c r="J355" s="429"/>
      <c r="K355" s="429"/>
      <c r="L355" s="383"/>
      <c r="M355" s="383" t="s">
        <v>796</v>
      </c>
      <c r="N355" s="383" t="s">
        <v>323</v>
      </c>
      <c r="O355" s="383" t="s">
        <v>599</v>
      </c>
      <c r="P355" s="383" t="s">
        <v>970</v>
      </c>
      <c r="Q355" s="383"/>
      <c r="R355" s="431">
        <v>132000</v>
      </c>
      <c r="S355" s="158">
        <v>0</v>
      </c>
      <c r="T355" s="158">
        <v>0</v>
      </c>
      <c r="U355" s="158">
        <v>0</v>
      </c>
      <c r="V355" s="158">
        <v>0</v>
      </c>
      <c r="W355" s="158">
        <v>0</v>
      </c>
      <c r="X355" s="158">
        <v>0</v>
      </c>
      <c r="Y355" s="158">
        <v>0</v>
      </c>
      <c r="Z355" s="158">
        <v>0</v>
      </c>
      <c r="AA355" s="432">
        <v>0</v>
      </c>
      <c r="AB355" s="432">
        <v>0</v>
      </c>
      <c r="AC355" s="432">
        <v>0</v>
      </c>
      <c r="AD355" s="432">
        <v>0</v>
      </c>
      <c r="AE355" s="432">
        <v>0</v>
      </c>
      <c r="AF355" s="432">
        <v>0</v>
      </c>
      <c r="AG355" s="432">
        <v>0</v>
      </c>
      <c r="AH355" s="432">
        <v>0</v>
      </c>
      <c r="AI355" s="158">
        <v>132290</v>
      </c>
      <c r="AJ355" s="158">
        <v>0</v>
      </c>
      <c r="AK355" s="158">
        <v>132290</v>
      </c>
      <c r="AL355" s="158">
        <v>132290</v>
      </c>
      <c r="AM355" s="158">
        <v>3099600</v>
      </c>
      <c r="AN355" s="158">
        <v>132290</v>
      </c>
      <c r="AO355" s="158">
        <v>132290</v>
      </c>
      <c r="AP355" s="158">
        <v>132000</v>
      </c>
      <c r="AQ355" s="432">
        <v>0</v>
      </c>
      <c r="AR355" s="432">
        <v>0</v>
      </c>
      <c r="AS355" s="432">
        <v>0</v>
      </c>
      <c r="AT355" s="432">
        <v>0</v>
      </c>
      <c r="AU355" s="432">
        <v>0</v>
      </c>
      <c r="AV355" s="432">
        <v>0</v>
      </c>
      <c r="AW355" s="432">
        <v>0</v>
      </c>
      <c r="AX355" s="432">
        <v>0</v>
      </c>
      <c r="AY355" s="158">
        <v>0</v>
      </c>
      <c r="AZ355" s="158">
        <v>0</v>
      </c>
      <c r="BA355" s="158">
        <v>0</v>
      </c>
      <c r="BB355" s="158">
        <v>0</v>
      </c>
      <c r="BC355" s="158">
        <v>0</v>
      </c>
      <c r="BD355" s="158">
        <v>0</v>
      </c>
      <c r="BE355" s="158">
        <v>0</v>
      </c>
      <c r="BF355" s="160">
        <v>0</v>
      </c>
      <c r="BG355" s="383">
        <v>2023</v>
      </c>
      <c r="BH355" s="383">
        <v>1</v>
      </c>
      <c r="BI355" s="383">
        <v>19</v>
      </c>
      <c r="BK355" s="147" t="str">
        <f>IF(R355=SUM(Z355,AH355,AP355,AX355,BF355),"○","×")</f>
        <v>○</v>
      </c>
    </row>
    <row r="356" spans="1:63" x14ac:dyDescent="0.2">
      <c r="A356" s="428">
        <v>1552</v>
      </c>
      <c r="B356" s="429"/>
      <c r="C356" s="430"/>
      <c r="D356" s="429"/>
      <c r="E356" s="430"/>
      <c r="F356" s="429"/>
      <c r="G356" s="429"/>
      <c r="H356" s="430"/>
      <c r="I356" s="429"/>
      <c r="J356" s="429"/>
      <c r="K356" s="429"/>
      <c r="L356" s="383"/>
      <c r="M356" s="383" t="s">
        <v>797</v>
      </c>
      <c r="N356" s="383" t="s">
        <v>402</v>
      </c>
      <c r="O356" s="383" t="s">
        <v>432</v>
      </c>
      <c r="P356" s="383" t="s">
        <v>970</v>
      </c>
      <c r="Q356" s="383"/>
      <c r="R356" s="431">
        <v>710000</v>
      </c>
      <c r="S356" s="158">
        <v>0</v>
      </c>
      <c r="T356" s="158">
        <v>0</v>
      </c>
      <c r="U356" s="158">
        <v>0</v>
      </c>
      <c r="V356" s="158">
        <v>0</v>
      </c>
      <c r="W356" s="158">
        <v>0</v>
      </c>
      <c r="X356" s="158">
        <v>0</v>
      </c>
      <c r="Y356" s="158">
        <v>0</v>
      </c>
      <c r="Z356" s="158">
        <v>0</v>
      </c>
      <c r="AA356" s="432">
        <v>0</v>
      </c>
      <c r="AB356" s="432">
        <v>0</v>
      </c>
      <c r="AC356" s="432">
        <v>0</v>
      </c>
      <c r="AD356" s="432">
        <v>0</v>
      </c>
      <c r="AE356" s="432">
        <v>0</v>
      </c>
      <c r="AF356" s="432">
        <v>0</v>
      </c>
      <c r="AG356" s="432">
        <v>0</v>
      </c>
      <c r="AH356" s="432">
        <v>0</v>
      </c>
      <c r="AI356" s="158">
        <v>710370</v>
      </c>
      <c r="AJ356" s="158">
        <v>0</v>
      </c>
      <c r="AK356" s="158">
        <v>710370</v>
      </c>
      <c r="AL356" s="158">
        <v>710370</v>
      </c>
      <c r="AM356" s="158">
        <v>1036800</v>
      </c>
      <c r="AN356" s="158">
        <v>710370</v>
      </c>
      <c r="AO356" s="158">
        <v>710370</v>
      </c>
      <c r="AP356" s="158">
        <v>710000</v>
      </c>
      <c r="AQ356" s="432">
        <v>0</v>
      </c>
      <c r="AR356" s="432">
        <v>0</v>
      </c>
      <c r="AS356" s="432">
        <v>0</v>
      </c>
      <c r="AT356" s="432">
        <v>0</v>
      </c>
      <c r="AU356" s="432">
        <v>0</v>
      </c>
      <c r="AV356" s="432">
        <v>0</v>
      </c>
      <c r="AW356" s="432">
        <v>0</v>
      </c>
      <c r="AX356" s="432">
        <v>0</v>
      </c>
      <c r="AY356" s="158">
        <v>0</v>
      </c>
      <c r="AZ356" s="158">
        <v>0</v>
      </c>
      <c r="BA356" s="158">
        <v>0</v>
      </c>
      <c r="BB356" s="158">
        <v>0</v>
      </c>
      <c r="BC356" s="158">
        <v>0</v>
      </c>
      <c r="BD356" s="158">
        <v>0</v>
      </c>
      <c r="BE356" s="158">
        <v>0</v>
      </c>
      <c r="BF356" s="160">
        <v>0</v>
      </c>
      <c r="BG356" s="383">
        <v>2023</v>
      </c>
      <c r="BH356" s="383">
        <v>1</v>
      </c>
      <c r="BI356" s="383">
        <v>19</v>
      </c>
      <c r="BJ356" s="152"/>
      <c r="BK356" s="147" t="str">
        <f>IF(R356=SUM(Z356,AH356,AP356,AX356,BF356),"○","×")</f>
        <v>○</v>
      </c>
    </row>
    <row r="357" spans="1:63" x14ac:dyDescent="0.2">
      <c r="A357" s="428">
        <v>1553</v>
      </c>
      <c r="B357" s="429"/>
      <c r="C357" s="430"/>
      <c r="D357" s="429"/>
      <c r="E357" s="430"/>
      <c r="F357" s="429"/>
      <c r="G357" s="429"/>
      <c r="H357" s="430"/>
      <c r="I357" s="429"/>
      <c r="J357" s="429"/>
      <c r="K357" s="429"/>
      <c r="L357" s="383"/>
      <c r="M357" s="383" t="s">
        <v>798</v>
      </c>
      <c r="N357" s="383" t="s">
        <v>332</v>
      </c>
      <c r="O357" s="383" t="s">
        <v>799</v>
      </c>
      <c r="P357" s="383" t="s">
        <v>970</v>
      </c>
      <c r="Q357" s="383"/>
      <c r="R357" s="431">
        <v>911000</v>
      </c>
      <c r="S357" s="158">
        <v>0</v>
      </c>
      <c r="T357" s="158">
        <v>0</v>
      </c>
      <c r="U357" s="158">
        <v>0</v>
      </c>
      <c r="V357" s="158">
        <v>0</v>
      </c>
      <c r="W357" s="158">
        <v>0</v>
      </c>
      <c r="X357" s="158">
        <v>0</v>
      </c>
      <c r="Y357" s="158">
        <v>0</v>
      </c>
      <c r="Z357" s="158">
        <v>0</v>
      </c>
      <c r="AA357" s="432">
        <v>0</v>
      </c>
      <c r="AB357" s="432">
        <v>0</v>
      </c>
      <c r="AC357" s="432">
        <v>0</v>
      </c>
      <c r="AD357" s="432">
        <v>0</v>
      </c>
      <c r="AE357" s="432">
        <v>0</v>
      </c>
      <c r="AF357" s="432">
        <v>0</v>
      </c>
      <c r="AG357" s="432">
        <v>0</v>
      </c>
      <c r="AH357" s="432">
        <v>0</v>
      </c>
      <c r="AI357" s="158">
        <v>911838</v>
      </c>
      <c r="AJ357" s="158">
        <v>0</v>
      </c>
      <c r="AK357" s="158">
        <v>911838</v>
      </c>
      <c r="AL357" s="158">
        <v>911838</v>
      </c>
      <c r="AM357" s="158">
        <v>3024000</v>
      </c>
      <c r="AN357" s="158">
        <v>911838</v>
      </c>
      <c r="AO357" s="158">
        <v>911838</v>
      </c>
      <c r="AP357" s="158">
        <v>911000</v>
      </c>
      <c r="AQ357" s="432">
        <v>0</v>
      </c>
      <c r="AR357" s="432">
        <v>0</v>
      </c>
      <c r="AS357" s="432">
        <v>0</v>
      </c>
      <c r="AT357" s="432">
        <v>0</v>
      </c>
      <c r="AU357" s="432">
        <v>0</v>
      </c>
      <c r="AV357" s="432">
        <v>0</v>
      </c>
      <c r="AW357" s="432">
        <v>0</v>
      </c>
      <c r="AX357" s="432">
        <v>0</v>
      </c>
      <c r="AY357" s="158">
        <v>0</v>
      </c>
      <c r="AZ357" s="158">
        <v>0</v>
      </c>
      <c r="BA357" s="158">
        <v>0</v>
      </c>
      <c r="BB357" s="158">
        <v>0</v>
      </c>
      <c r="BC357" s="158">
        <v>0</v>
      </c>
      <c r="BD357" s="158">
        <v>0</v>
      </c>
      <c r="BE357" s="158">
        <v>0</v>
      </c>
      <c r="BF357" s="160">
        <v>0</v>
      </c>
      <c r="BG357" s="383">
        <v>2023</v>
      </c>
      <c r="BH357" s="383">
        <v>1</v>
      </c>
      <c r="BI357" s="383">
        <v>19</v>
      </c>
      <c r="BK357" s="147" t="str">
        <f>IF(R357=SUM(Z357,AH357,AP357,AX357,BF357),"○","×")</f>
        <v>○</v>
      </c>
    </row>
    <row r="358" spans="1:63" x14ac:dyDescent="0.2">
      <c r="A358" s="428">
        <v>1554</v>
      </c>
      <c r="B358" s="429"/>
      <c r="C358" s="430"/>
      <c r="D358" s="429"/>
      <c r="E358" s="430"/>
      <c r="F358" s="429"/>
      <c r="G358" s="429"/>
      <c r="H358" s="430"/>
      <c r="I358" s="429"/>
      <c r="J358" s="429"/>
      <c r="K358" s="429"/>
      <c r="L358" s="383"/>
      <c r="M358" s="383" t="s">
        <v>529</v>
      </c>
      <c r="N358" s="383" t="s">
        <v>329</v>
      </c>
      <c r="O358" s="383" t="s">
        <v>530</v>
      </c>
      <c r="P358" s="383" t="s">
        <v>970</v>
      </c>
      <c r="Q358" s="383"/>
      <c r="R358" s="431">
        <v>23000</v>
      </c>
      <c r="S358" s="158">
        <v>0</v>
      </c>
      <c r="T358" s="158">
        <v>0</v>
      </c>
      <c r="U358" s="158">
        <v>0</v>
      </c>
      <c r="V358" s="158">
        <v>0</v>
      </c>
      <c r="W358" s="158">
        <v>0</v>
      </c>
      <c r="X358" s="158">
        <v>0</v>
      </c>
      <c r="Y358" s="158">
        <v>0</v>
      </c>
      <c r="Z358" s="158">
        <v>0</v>
      </c>
      <c r="AA358" s="432">
        <v>0</v>
      </c>
      <c r="AB358" s="432">
        <v>0</v>
      </c>
      <c r="AC358" s="432">
        <v>0</v>
      </c>
      <c r="AD358" s="432">
        <v>0</v>
      </c>
      <c r="AE358" s="432">
        <v>0</v>
      </c>
      <c r="AF358" s="432">
        <v>0</v>
      </c>
      <c r="AG358" s="432">
        <v>0</v>
      </c>
      <c r="AH358" s="432">
        <v>0</v>
      </c>
      <c r="AI358" s="158">
        <v>23040</v>
      </c>
      <c r="AJ358" s="158">
        <v>0</v>
      </c>
      <c r="AK358" s="158">
        <v>23040</v>
      </c>
      <c r="AL358" s="158">
        <v>23040</v>
      </c>
      <c r="AM358" s="158">
        <v>3456000</v>
      </c>
      <c r="AN358" s="158">
        <v>23040</v>
      </c>
      <c r="AO358" s="158">
        <v>23040</v>
      </c>
      <c r="AP358" s="158">
        <v>23000</v>
      </c>
      <c r="AQ358" s="432">
        <v>0</v>
      </c>
      <c r="AR358" s="432">
        <v>0</v>
      </c>
      <c r="AS358" s="432">
        <v>0</v>
      </c>
      <c r="AT358" s="432">
        <v>0</v>
      </c>
      <c r="AU358" s="432">
        <v>0</v>
      </c>
      <c r="AV358" s="432">
        <v>0</v>
      </c>
      <c r="AW358" s="432">
        <v>0</v>
      </c>
      <c r="AX358" s="432">
        <v>0</v>
      </c>
      <c r="AY358" s="158">
        <v>0</v>
      </c>
      <c r="AZ358" s="158">
        <v>0</v>
      </c>
      <c r="BA358" s="158">
        <v>0</v>
      </c>
      <c r="BB358" s="158">
        <v>0</v>
      </c>
      <c r="BC358" s="158">
        <v>0</v>
      </c>
      <c r="BD358" s="158">
        <v>0</v>
      </c>
      <c r="BE358" s="158">
        <v>0</v>
      </c>
      <c r="BF358" s="160">
        <v>0</v>
      </c>
      <c r="BG358" s="383">
        <v>2023</v>
      </c>
      <c r="BH358" s="383">
        <v>1</v>
      </c>
      <c r="BI358" s="383">
        <v>19</v>
      </c>
      <c r="BK358" s="147" t="str">
        <f>IF(R358=SUM(Z358,AH358,AP358,AX358,BF358),"○","×")</f>
        <v>○</v>
      </c>
    </row>
    <row r="359" spans="1:63" x14ac:dyDescent="0.2">
      <c r="A359" s="428">
        <v>1555</v>
      </c>
      <c r="B359" s="429"/>
      <c r="C359" s="430"/>
      <c r="D359" s="429"/>
      <c r="E359" s="430"/>
      <c r="F359" s="429"/>
      <c r="G359" s="429"/>
      <c r="H359" s="430"/>
      <c r="I359" s="429"/>
      <c r="J359" s="429"/>
      <c r="K359" s="429"/>
      <c r="L359" s="383"/>
      <c r="M359" s="383" t="s">
        <v>413</v>
      </c>
      <c r="N359" s="383" t="s">
        <v>323</v>
      </c>
      <c r="O359" s="383" t="s">
        <v>414</v>
      </c>
      <c r="P359" s="383" t="s">
        <v>970</v>
      </c>
      <c r="Q359" s="383"/>
      <c r="R359" s="431">
        <v>97000</v>
      </c>
      <c r="S359" s="158">
        <v>0</v>
      </c>
      <c r="T359" s="158">
        <v>0</v>
      </c>
      <c r="U359" s="158">
        <v>0</v>
      </c>
      <c r="V359" s="158">
        <v>0</v>
      </c>
      <c r="W359" s="158">
        <v>0</v>
      </c>
      <c r="X359" s="158">
        <v>0</v>
      </c>
      <c r="Y359" s="158">
        <v>0</v>
      </c>
      <c r="Z359" s="158">
        <v>0</v>
      </c>
      <c r="AA359" s="432">
        <v>0</v>
      </c>
      <c r="AB359" s="432">
        <v>0</v>
      </c>
      <c r="AC359" s="432">
        <v>0</v>
      </c>
      <c r="AD359" s="432">
        <v>0</v>
      </c>
      <c r="AE359" s="432">
        <v>0</v>
      </c>
      <c r="AF359" s="432">
        <v>0</v>
      </c>
      <c r="AG359" s="432">
        <v>0</v>
      </c>
      <c r="AH359" s="432">
        <v>0</v>
      </c>
      <c r="AI359" s="158">
        <v>97780</v>
      </c>
      <c r="AJ359" s="158">
        <v>0</v>
      </c>
      <c r="AK359" s="158">
        <v>97780</v>
      </c>
      <c r="AL359" s="158">
        <v>97780</v>
      </c>
      <c r="AM359" s="158">
        <v>3049200</v>
      </c>
      <c r="AN359" s="158">
        <v>97780</v>
      </c>
      <c r="AO359" s="158">
        <v>97780</v>
      </c>
      <c r="AP359" s="158">
        <v>97000</v>
      </c>
      <c r="AQ359" s="432">
        <v>0</v>
      </c>
      <c r="AR359" s="432">
        <v>0</v>
      </c>
      <c r="AS359" s="432">
        <v>0</v>
      </c>
      <c r="AT359" s="432">
        <v>0</v>
      </c>
      <c r="AU359" s="432">
        <v>0</v>
      </c>
      <c r="AV359" s="432">
        <v>0</v>
      </c>
      <c r="AW359" s="432">
        <v>0</v>
      </c>
      <c r="AX359" s="432">
        <v>0</v>
      </c>
      <c r="AY359" s="158">
        <v>0</v>
      </c>
      <c r="AZ359" s="158">
        <v>0</v>
      </c>
      <c r="BA359" s="158">
        <v>0</v>
      </c>
      <c r="BB359" s="158">
        <v>0</v>
      </c>
      <c r="BC359" s="158">
        <v>0</v>
      </c>
      <c r="BD359" s="158">
        <v>0</v>
      </c>
      <c r="BE359" s="158">
        <v>0</v>
      </c>
      <c r="BF359" s="160">
        <v>0</v>
      </c>
      <c r="BG359" s="383">
        <v>2023</v>
      </c>
      <c r="BH359" s="383">
        <v>1</v>
      </c>
      <c r="BI359" s="383">
        <v>19</v>
      </c>
      <c r="BK359" s="147" t="str">
        <f>IF(R359=SUM(Z359,AH359,AP359,AX359,BF359),"○","×")</f>
        <v>○</v>
      </c>
    </row>
    <row r="360" spans="1:63" x14ac:dyDescent="0.2">
      <c r="A360" s="428">
        <v>1556</v>
      </c>
      <c r="B360" s="429"/>
      <c r="C360" s="430"/>
      <c r="D360" s="429"/>
      <c r="E360" s="430"/>
      <c r="F360" s="429"/>
      <c r="G360" s="429"/>
      <c r="H360" s="430"/>
      <c r="I360" s="429"/>
      <c r="J360" s="429"/>
      <c r="K360" s="429"/>
      <c r="L360" s="383"/>
      <c r="M360" s="383" t="s">
        <v>664</v>
      </c>
      <c r="N360" s="383" t="s">
        <v>323</v>
      </c>
      <c r="O360" s="383" t="s">
        <v>530</v>
      </c>
      <c r="P360" s="383" t="s">
        <v>970</v>
      </c>
      <c r="Q360" s="383"/>
      <c r="R360" s="431">
        <v>56000</v>
      </c>
      <c r="S360" s="158">
        <v>0</v>
      </c>
      <c r="T360" s="158">
        <v>0</v>
      </c>
      <c r="U360" s="158">
        <v>0</v>
      </c>
      <c r="V360" s="158">
        <v>0</v>
      </c>
      <c r="W360" s="158">
        <v>0</v>
      </c>
      <c r="X360" s="158">
        <v>0</v>
      </c>
      <c r="Y360" s="158">
        <v>0</v>
      </c>
      <c r="Z360" s="158">
        <v>0</v>
      </c>
      <c r="AA360" s="432">
        <v>0</v>
      </c>
      <c r="AB360" s="432">
        <v>0</v>
      </c>
      <c r="AC360" s="432">
        <v>0</v>
      </c>
      <c r="AD360" s="432">
        <v>0</v>
      </c>
      <c r="AE360" s="432">
        <v>0</v>
      </c>
      <c r="AF360" s="432">
        <v>0</v>
      </c>
      <c r="AG360" s="432">
        <v>0</v>
      </c>
      <c r="AH360" s="432">
        <v>0</v>
      </c>
      <c r="AI360" s="158">
        <v>56480</v>
      </c>
      <c r="AJ360" s="158">
        <v>0</v>
      </c>
      <c r="AK360" s="158">
        <v>56480</v>
      </c>
      <c r="AL360" s="158">
        <v>56480</v>
      </c>
      <c r="AM360" s="158">
        <v>2592000</v>
      </c>
      <c r="AN360" s="158">
        <v>56480</v>
      </c>
      <c r="AO360" s="158">
        <v>56480</v>
      </c>
      <c r="AP360" s="158">
        <v>56000</v>
      </c>
      <c r="AQ360" s="432">
        <v>0</v>
      </c>
      <c r="AR360" s="432">
        <v>0</v>
      </c>
      <c r="AS360" s="432">
        <v>0</v>
      </c>
      <c r="AT360" s="432">
        <v>0</v>
      </c>
      <c r="AU360" s="432">
        <v>0</v>
      </c>
      <c r="AV360" s="432">
        <v>0</v>
      </c>
      <c r="AW360" s="432">
        <v>0</v>
      </c>
      <c r="AX360" s="432">
        <v>0</v>
      </c>
      <c r="AY360" s="158">
        <v>0</v>
      </c>
      <c r="AZ360" s="158">
        <v>0</v>
      </c>
      <c r="BA360" s="158">
        <v>0</v>
      </c>
      <c r="BB360" s="158">
        <v>0</v>
      </c>
      <c r="BC360" s="158">
        <v>0</v>
      </c>
      <c r="BD360" s="158">
        <v>0</v>
      </c>
      <c r="BE360" s="158">
        <v>0</v>
      </c>
      <c r="BF360" s="160">
        <v>0</v>
      </c>
      <c r="BG360" s="383">
        <v>2023</v>
      </c>
      <c r="BH360" s="383">
        <v>1</v>
      </c>
      <c r="BI360" s="383">
        <v>19</v>
      </c>
      <c r="BK360" s="147" t="str">
        <f>IF(R360=SUM(Z360,AH360,AP360,AX360,BF360),"○","×")</f>
        <v>○</v>
      </c>
    </row>
    <row r="361" spans="1:63" x14ac:dyDescent="0.2">
      <c r="A361" s="428">
        <v>1557</v>
      </c>
      <c r="B361" s="429"/>
      <c r="C361" s="430"/>
      <c r="D361" s="429"/>
      <c r="E361" s="430"/>
      <c r="F361" s="429"/>
      <c r="G361" s="429"/>
      <c r="H361" s="430"/>
      <c r="I361" s="429"/>
      <c r="J361" s="429"/>
      <c r="K361" s="429"/>
      <c r="L361" s="383"/>
      <c r="M361" s="383" t="s">
        <v>727</v>
      </c>
      <c r="N361" s="383" t="s">
        <v>332</v>
      </c>
      <c r="O361" s="383" t="s">
        <v>728</v>
      </c>
      <c r="P361" s="383" t="s">
        <v>970</v>
      </c>
      <c r="Q361" s="383"/>
      <c r="R361" s="431">
        <v>594000</v>
      </c>
      <c r="S361" s="158">
        <v>0</v>
      </c>
      <c r="T361" s="158">
        <v>0</v>
      </c>
      <c r="U361" s="158">
        <v>0</v>
      </c>
      <c r="V361" s="158">
        <v>0</v>
      </c>
      <c r="W361" s="158">
        <v>0</v>
      </c>
      <c r="X361" s="158">
        <v>0</v>
      </c>
      <c r="Y361" s="158">
        <v>0</v>
      </c>
      <c r="Z361" s="158">
        <v>0</v>
      </c>
      <c r="AA361" s="432">
        <v>0</v>
      </c>
      <c r="AB361" s="432">
        <v>0</v>
      </c>
      <c r="AC361" s="432">
        <v>0</v>
      </c>
      <c r="AD361" s="432">
        <v>0</v>
      </c>
      <c r="AE361" s="432">
        <v>0</v>
      </c>
      <c r="AF361" s="432">
        <v>0</v>
      </c>
      <c r="AG361" s="432">
        <v>0</v>
      </c>
      <c r="AH361" s="432">
        <v>0</v>
      </c>
      <c r="AI361" s="158">
        <v>594200</v>
      </c>
      <c r="AJ361" s="158">
        <v>0</v>
      </c>
      <c r="AK361" s="158">
        <v>594200</v>
      </c>
      <c r="AL361" s="158">
        <v>594200</v>
      </c>
      <c r="AM361" s="158">
        <v>3088800</v>
      </c>
      <c r="AN361" s="158">
        <v>594200</v>
      </c>
      <c r="AO361" s="158">
        <v>594200</v>
      </c>
      <c r="AP361" s="158">
        <v>594000</v>
      </c>
      <c r="AQ361" s="432">
        <v>0</v>
      </c>
      <c r="AR361" s="432">
        <v>0</v>
      </c>
      <c r="AS361" s="432">
        <v>0</v>
      </c>
      <c r="AT361" s="432">
        <v>0</v>
      </c>
      <c r="AU361" s="432">
        <v>0</v>
      </c>
      <c r="AV361" s="432">
        <v>0</v>
      </c>
      <c r="AW361" s="432">
        <v>0</v>
      </c>
      <c r="AX361" s="432">
        <v>0</v>
      </c>
      <c r="AY361" s="158">
        <v>0</v>
      </c>
      <c r="AZ361" s="158">
        <v>0</v>
      </c>
      <c r="BA361" s="158">
        <v>0</v>
      </c>
      <c r="BB361" s="158">
        <v>0</v>
      </c>
      <c r="BC361" s="158">
        <v>0</v>
      </c>
      <c r="BD361" s="158">
        <v>0</v>
      </c>
      <c r="BE361" s="158">
        <v>0</v>
      </c>
      <c r="BF361" s="160">
        <v>0</v>
      </c>
      <c r="BG361" s="383">
        <v>2023</v>
      </c>
      <c r="BH361" s="383">
        <v>1</v>
      </c>
      <c r="BI361" s="383">
        <v>19</v>
      </c>
      <c r="BK361" s="147" t="str">
        <f>IF(R361=SUM(Z361,AH361,AP361,AX361,BF361),"○","×")</f>
        <v>○</v>
      </c>
    </row>
    <row r="362" spans="1:63" x14ac:dyDescent="0.2">
      <c r="A362" s="428">
        <v>1558</v>
      </c>
      <c r="B362" s="429"/>
      <c r="C362" s="430"/>
      <c r="D362" s="429"/>
      <c r="E362" s="430"/>
      <c r="F362" s="429"/>
      <c r="G362" s="429"/>
      <c r="H362" s="430"/>
      <c r="I362" s="429"/>
      <c r="J362" s="429"/>
      <c r="K362" s="429"/>
      <c r="L362" s="383"/>
      <c r="M362" s="383" t="s">
        <v>362</v>
      </c>
      <c r="N362" s="383" t="s">
        <v>326</v>
      </c>
      <c r="O362" s="383" t="s">
        <v>363</v>
      </c>
      <c r="P362" s="383" t="s">
        <v>970</v>
      </c>
      <c r="Q362" s="383"/>
      <c r="R362" s="431">
        <v>364000</v>
      </c>
      <c r="S362" s="158">
        <v>0</v>
      </c>
      <c r="T362" s="158">
        <v>0</v>
      </c>
      <c r="U362" s="158">
        <v>0</v>
      </c>
      <c r="V362" s="158">
        <v>0</v>
      </c>
      <c r="W362" s="158">
        <v>0</v>
      </c>
      <c r="X362" s="158">
        <v>0</v>
      </c>
      <c r="Y362" s="158">
        <v>0</v>
      </c>
      <c r="Z362" s="158">
        <v>0</v>
      </c>
      <c r="AA362" s="432">
        <v>0</v>
      </c>
      <c r="AB362" s="432">
        <v>0</v>
      </c>
      <c r="AC362" s="432">
        <v>0</v>
      </c>
      <c r="AD362" s="432">
        <v>0</v>
      </c>
      <c r="AE362" s="432">
        <v>0</v>
      </c>
      <c r="AF362" s="432">
        <v>0</v>
      </c>
      <c r="AG362" s="432">
        <v>0</v>
      </c>
      <c r="AH362" s="432">
        <v>0</v>
      </c>
      <c r="AI362" s="158">
        <v>364920</v>
      </c>
      <c r="AJ362" s="158">
        <v>0</v>
      </c>
      <c r="AK362" s="158">
        <v>364920</v>
      </c>
      <c r="AL362" s="158">
        <v>364920</v>
      </c>
      <c r="AM362" s="158">
        <v>1382400</v>
      </c>
      <c r="AN362" s="158">
        <v>364920</v>
      </c>
      <c r="AO362" s="158">
        <v>364920</v>
      </c>
      <c r="AP362" s="158">
        <v>364000</v>
      </c>
      <c r="AQ362" s="432">
        <v>0</v>
      </c>
      <c r="AR362" s="432">
        <v>0</v>
      </c>
      <c r="AS362" s="432">
        <v>0</v>
      </c>
      <c r="AT362" s="432">
        <v>0</v>
      </c>
      <c r="AU362" s="432">
        <v>0</v>
      </c>
      <c r="AV362" s="432">
        <v>0</v>
      </c>
      <c r="AW362" s="432">
        <v>0</v>
      </c>
      <c r="AX362" s="432">
        <v>0</v>
      </c>
      <c r="AY362" s="158">
        <v>0</v>
      </c>
      <c r="AZ362" s="158">
        <v>0</v>
      </c>
      <c r="BA362" s="158">
        <v>0</v>
      </c>
      <c r="BB362" s="158">
        <v>0</v>
      </c>
      <c r="BC362" s="158">
        <v>0</v>
      </c>
      <c r="BD362" s="158">
        <v>0</v>
      </c>
      <c r="BE362" s="158">
        <v>0</v>
      </c>
      <c r="BF362" s="160">
        <v>0</v>
      </c>
      <c r="BG362" s="383">
        <v>2023</v>
      </c>
      <c r="BH362" s="383">
        <v>1</v>
      </c>
      <c r="BI362" s="383">
        <v>19</v>
      </c>
      <c r="BK362" s="147" t="str">
        <f>IF(R362=SUM(Z362,AH362,AP362,AX362,BF362),"○","×")</f>
        <v>○</v>
      </c>
    </row>
    <row r="363" spans="1:63" x14ac:dyDescent="0.2">
      <c r="A363" s="428">
        <v>1559</v>
      </c>
      <c r="B363" s="429"/>
      <c r="C363" s="430"/>
      <c r="D363" s="429"/>
      <c r="E363" s="430"/>
      <c r="F363" s="429"/>
      <c r="G363" s="429"/>
      <c r="H363" s="430"/>
      <c r="I363" s="429"/>
      <c r="J363" s="429"/>
      <c r="K363" s="429"/>
      <c r="L363" s="383"/>
      <c r="M363" s="383" t="s">
        <v>800</v>
      </c>
      <c r="N363" s="383" t="s">
        <v>353</v>
      </c>
      <c r="O363" s="383" t="s">
        <v>671</v>
      </c>
      <c r="P363" s="383" t="s">
        <v>970</v>
      </c>
      <c r="Q363" s="383"/>
      <c r="R363" s="431">
        <v>421000</v>
      </c>
      <c r="S363" s="158">
        <v>0</v>
      </c>
      <c r="T363" s="158">
        <v>0</v>
      </c>
      <c r="U363" s="158">
        <v>0</v>
      </c>
      <c r="V363" s="158">
        <v>0</v>
      </c>
      <c r="W363" s="158">
        <v>0</v>
      </c>
      <c r="X363" s="158">
        <v>0</v>
      </c>
      <c r="Y363" s="158">
        <v>0</v>
      </c>
      <c r="Z363" s="158">
        <v>0</v>
      </c>
      <c r="AA363" s="432">
        <v>0</v>
      </c>
      <c r="AB363" s="432">
        <v>0</v>
      </c>
      <c r="AC363" s="432">
        <v>0</v>
      </c>
      <c r="AD363" s="432">
        <v>0</v>
      </c>
      <c r="AE363" s="432">
        <v>0</v>
      </c>
      <c r="AF363" s="432">
        <v>0</v>
      </c>
      <c r="AG363" s="432">
        <v>0</v>
      </c>
      <c r="AH363" s="432">
        <v>0</v>
      </c>
      <c r="AI363" s="158">
        <v>421790</v>
      </c>
      <c r="AJ363" s="158">
        <v>0</v>
      </c>
      <c r="AK363" s="158">
        <v>421790</v>
      </c>
      <c r="AL363" s="158">
        <v>421790</v>
      </c>
      <c r="AM363" s="158">
        <v>3272400</v>
      </c>
      <c r="AN363" s="158">
        <v>421790</v>
      </c>
      <c r="AO363" s="158">
        <v>421790</v>
      </c>
      <c r="AP363" s="158">
        <v>421000</v>
      </c>
      <c r="AQ363" s="432">
        <v>0</v>
      </c>
      <c r="AR363" s="432">
        <v>0</v>
      </c>
      <c r="AS363" s="432">
        <v>0</v>
      </c>
      <c r="AT363" s="432">
        <v>0</v>
      </c>
      <c r="AU363" s="432">
        <v>0</v>
      </c>
      <c r="AV363" s="432">
        <v>0</v>
      </c>
      <c r="AW363" s="432">
        <v>0</v>
      </c>
      <c r="AX363" s="432">
        <v>0</v>
      </c>
      <c r="AY363" s="158">
        <v>0</v>
      </c>
      <c r="AZ363" s="158">
        <v>0</v>
      </c>
      <c r="BA363" s="158">
        <v>0</v>
      </c>
      <c r="BB363" s="158">
        <v>0</v>
      </c>
      <c r="BC363" s="158">
        <v>0</v>
      </c>
      <c r="BD363" s="158">
        <v>0</v>
      </c>
      <c r="BE363" s="158">
        <v>0</v>
      </c>
      <c r="BF363" s="160">
        <v>0</v>
      </c>
      <c r="BG363" s="383">
        <v>2023</v>
      </c>
      <c r="BH363" s="383">
        <v>1</v>
      </c>
      <c r="BI363" s="383">
        <v>19</v>
      </c>
      <c r="BK363" s="147" t="str">
        <f>IF(R363=SUM(Z363,AH363,AP363,AX363,BF363),"○","×")</f>
        <v>○</v>
      </c>
    </row>
    <row r="364" spans="1:63" x14ac:dyDescent="0.2">
      <c r="A364" s="428">
        <v>1560</v>
      </c>
      <c r="B364" s="429"/>
      <c r="C364" s="430"/>
      <c r="D364" s="429"/>
      <c r="E364" s="430"/>
      <c r="F364" s="429"/>
      <c r="G364" s="429"/>
      <c r="H364" s="430"/>
      <c r="I364" s="429"/>
      <c r="J364" s="429"/>
      <c r="K364" s="429"/>
      <c r="L364" s="383"/>
      <c r="M364" s="383" t="s">
        <v>801</v>
      </c>
      <c r="N364" s="383" t="s">
        <v>340</v>
      </c>
      <c r="O364" s="383" t="s">
        <v>802</v>
      </c>
      <c r="P364" s="383" t="s">
        <v>970</v>
      </c>
      <c r="Q364" s="383"/>
      <c r="R364" s="431">
        <v>236000</v>
      </c>
      <c r="S364" s="158">
        <v>0</v>
      </c>
      <c r="T364" s="158">
        <v>0</v>
      </c>
      <c r="U364" s="158">
        <v>0</v>
      </c>
      <c r="V364" s="158">
        <v>0</v>
      </c>
      <c r="W364" s="158">
        <v>0</v>
      </c>
      <c r="X364" s="158">
        <v>0</v>
      </c>
      <c r="Y364" s="158">
        <v>0</v>
      </c>
      <c r="Z364" s="158">
        <v>0</v>
      </c>
      <c r="AA364" s="432">
        <v>0</v>
      </c>
      <c r="AB364" s="432">
        <v>0</v>
      </c>
      <c r="AC364" s="432">
        <v>0</v>
      </c>
      <c r="AD364" s="432">
        <v>0</v>
      </c>
      <c r="AE364" s="432">
        <v>0</v>
      </c>
      <c r="AF364" s="432">
        <v>0</v>
      </c>
      <c r="AG364" s="432">
        <v>0</v>
      </c>
      <c r="AH364" s="432">
        <v>0</v>
      </c>
      <c r="AI364" s="158">
        <v>236797</v>
      </c>
      <c r="AJ364" s="158">
        <v>0</v>
      </c>
      <c r="AK364" s="158">
        <v>236797</v>
      </c>
      <c r="AL364" s="158">
        <v>236797</v>
      </c>
      <c r="AM364" s="158">
        <v>6048000</v>
      </c>
      <c r="AN364" s="158">
        <v>236797</v>
      </c>
      <c r="AO364" s="158">
        <v>236797</v>
      </c>
      <c r="AP364" s="158">
        <v>236000</v>
      </c>
      <c r="AQ364" s="432">
        <v>0</v>
      </c>
      <c r="AR364" s="432">
        <v>0</v>
      </c>
      <c r="AS364" s="432">
        <v>0</v>
      </c>
      <c r="AT364" s="432">
        <v>0</v>
      </c>
      <c r="AU364" s="432">
        <v>0</v>
      </c>
      <c r="AV364" s="432">
        <v>0</v>
      </c>
      <c r="AW364" s="432">
        <v>0</v>
      </c>
      <c r="AX364" s="432">
        <v>0</v>
      </c>
      <c r="AY364" s="158">
        <v>0</v>
      </c>
      <c r="AZ364" s="158">
        <v>0</v>
      </c>
      <c r="BA364" s="158">
        <v>0</v>
      </c>
      <c r="BB364" s="158">
        <v>0</v>
      </c>
      <c r="BC364" s="158">
        <v>0</v>
      </c>
      <c r="BD364" s="158">
        <v>0</v>
      </c>
      <c r="BE364" s="158">
        <v>0</v>
      </c>
      <c r="BF364" s="160">
        <v>0</v>
      </c>
      <c r="BG364" s="383">
        <v>2023</v>
      </c>
      <c r="BH364" s="383">
        <v>1</v>
      </c>
      <c r="BI364" s="383">
        <v>19</v>
      </c>
      <c r="BK364" s="147" t="str">
        <f>IF(R364=SUM(Z364,AH364,AP364,AX364,BF364),"○","×")</f>
        <v>○</v>
      </c>
    </row>
    <row r="365" spans="1:63" x14ac:dyDescent="0.2">
      <c r="A365" s="428">
        <v>1561</v>
      </c>
      <c r="B365" s="429"/>
      <c r="C365" s="430"/>
      <c r="D365" s="429"/>
      <c r="E365" s="430"/>
      <c r="F365" s="429"/>
      <c r="G365" s="429"/>
      <c r="H365" s="430"/>
      <c r="I365" s="429"/>
      <c r="J365" s="429"/>
      <c r="K365" s="429"/>
      <c r="L365" s="383"/>
      <c r="M365" s="383" t="s">
        <v>775</v>
      </c>
      <c r="N365" s="383" t="s">
        <v>367</v>
      </c>
      <c r="O365" s="383" t="s">
        <v>439</v>
      </c>
      <c r="P365" s="383" t="s">
        <v>970</v>
      </c>
      <c r="Q365" s="383"/>
      <c r="R365" s="431">
        <v>46000</v>
      </c>
      <c r="S365" s="158">
        <v>0</v>
      </c>
      <c r="T365" s="158">
        <v>0</v>
      </c>
      <c r="U365" s="158">
        <v>0</v>
      </c>
      <c r="V365" s="158">
        <v>0</v>
      </c>
      <c r="W365" s="158">
        <v>0</v>
      </c>
      <c r="X365" s="158">
        <v>0</v>
      </c>
      <c r="Y365" s="158">
        <v>0</v>
      </c>
      <c r="Z365" s="158">
        <v>0</v>
      </c>
      <c r="AA365" s="432">
        <v>0</v>
      </c>
      <c r="AB365" s="432">
        <v>0</v>
      </c>
      <c r="AC365" s="432">
        <v>0</v>
      </c>
      <c r="AD365" s="432">
        <v>0</v>
      </c>
      <c r="AE365" s="432">
        <v>0</v>
      </c>
      <c r="AF365" s="432">
        <v>0</v>
      </c>
      <c r="AG365" s="432">
        <v>0</v>
      </c>
      <c r="AH365" s="432">
        <v>0</v>
      </c>
      <c r="AI365" s="158">
        <v>46220</v>
      </c>
      <c r="AJ365" s="158">
        <v>0</v>
      </c>
      <c r="AK365" s="158">
        <v>46220</v>
      </c>
      <c r="AL365" s="158">
        <v>46220</v>
      </c>
      <c r="AM365" s="158">
        <v>2574000</v>
      </c>
      <c r="AN365" s="158">
        <v>46220</v>
      </c>
      <c r="AO365" s="158">
        <v>46220</v>
      </c>
      <c r="AP365" s="158">
        <v>46000</v>
      </c>
      <c r="AQ365" s="432">
        <v>0</v>
      </c>
      <c r="AR365" s="432">
        <v>0</v>
      </c>
      <c r="AS365" s="432">
        <v>0</v>
      </c>
      <c r="AT365" s="432">
        <v>0</v>
      </c>
      <c r="AU365" s="432">
        <v>0</v>
      </c>
      <c r="AV365" s="432">
        <v>0</v>
      </c>
      <c r="AW365" s="432">
        <v>0</v>
      </c>
      <c r="AX365" s="432">
        <v>0</v>
      </c>
      <c r="AY365" s="158">
        <v>0</v>
      </c>
      <c r="AZ365" s="158">
        <v>0</v>
      </c>
      <c r="BA365" s="158">
        <v>0</v>
      </c>
      <c r="BB365" s="158">
        <v>0</v>
      </c>
      <c r="BC365" s="158">
        <v>0</v>
      </c>
      <c r="BD365" s="158">
        <v>0</v>
      </c>
      <c r="BE365" s="158">
        <v>0</v>
      </c>
      <c r="BF365" s="160">
        <v>0</v>
      </c>
      <c r="BG365" s="383">
        <v>2023</v>
      </c>
      <c r="BH365" s="383">
        <v>1</v>
      </c>
      <c r="BI365" s="383">
        <v>19</v>
      </c>
      <c r="BK365" s="147" t="str">
        <f>IF(R365=SUM(Z365,AH365,AP365,AX365,BF365),"○","×")</f>
        <v>○</v>
      </c>
    </row>
    <row r="366" spans="1:63" x14ac:dyDescent="0.2">
      <c r="A366" s="428">
        <v>1562</v>
      </c>
      <c r="B366" s="429"/>
      <c r="C366" s="430"/>
      <c r="D366" s="429"/>
      <c r="E366" s="430"/>
      <c r="F366" s="429"/>
      <c r="G366" s="429"/>
      <c r="H366" s="430"/>
      <c r="I366" s="429"/>
      <c r="J366" s="429"/>
      <c r="K366" s="429"/>
      <c r="L366" s="383"/>
      <c r="M366" s="383" t="s">
        <v>691</v>
      </c>
      <c r="N366" s="383" t="s">
        <v>323</v>
      </c>
      <c r="O366" s="383" t="s">
        <v>692</v>
      </c>
      <c r="P366" s="383" t="s">
        <v>970</v>
      </c>
      <c r="Q366" s="383"/>
      <c r="R366" s="431">
        <v>26000</v>
      </c>
      <c r="S366" s="158">
        <v>0</v>
      </c>
      <c r="T366" s="158">
        <v>0</v>
      </c>
      <c r="U366" s="158">
        <v>0</v>
      </c>
      <c r="V366" s="158">
        <v>0</v>
      </c>
      <c r="W366" s="158">
        <v>0</v>
      </c>
      <c r="X366" s="158">
        <v>0</v>
      </c>
      <c r="Y366" s="158">
        <v>0</v>
      </c>
      <c r="Z366" s="158">
        <v>0</v>
      </c>
      <c r="AA366" s="432">
        <v>0</v>
      </c>
      <c r="AB366" s="432">
        <v>0</v>
      </c>
      <c r="AC366" s="432">
        <v>0</v>
      </c>
      <c r="AD366" s="432">
        <v>0</v>
      </c>
      <c r="AE366" s="432">
        <v>0</v>
      </c>
      <c r="AF366" s="432">
        <v>0</v>
      </c>
      <c r="AG366" s="432">
        <v>0</v>
      </c>
      <c r="AH366" s="432">
        <v>0</v>
      </c>
      <c r="AI366" s="158">
        <v>26180</v>
      </c>
      <c r="AJ366" s="158">
        <v>0</v>
      </c>
      <c r="AK366" s="158">
        <v>26180</v>
      </c>
      <c r="AL366" s="158">
        <v>26180</v>
      </c>
      <c r="AM366" s="158">
        <v>684000</v>
      </c>
      <c r="AN366" s="158">
        <v>26180</v>
      </c>
      <c r="AO366" s="158">
        <v>26180</v>
      </c>
      <c r="AP366" s="158">
        <v>26000</v>
      </c>
      <c r="AQ366" s="432">
        <v>0</v>
      </c>
      <c r="AR366" s="432">
        <v>0</v>
      </c>
      <c r="AS366" s="432">
        <v>0</v>
      </c>
      <c r="AT366" s="432">
        <v>0</v>
      </c>
      <c r="AU366" s="432">
        <v>0</v>
      </c>
      <c r="AV366" s="432">
        <v>0</v>
      </c>
      <c r="AW366" s="432">
        <v>0</v>
      </c>
      <c r="AX366" s="432">
        <v>0</v>
      </c>
      <c r="AY366" s="158">
        <v>0</v>
      </c>
      <c r="AZ366" s="158">
        <v>0</v>
      </c>
      <c r="BA366" s="158">
        <v>0</v>
      </c>
      <c r="BB366" s="158">
        <v>0</v>
      </c>
      <c r="BC366" s="158">
        <v>0</v>
      </c>
      <c r="BD366" s="158">
        <v>0</v>
      </c>
      <c r="BE366" s="158">
        <v>0</v>
      </c>
      <c r="BF366" s="160">
        <v>0</v>
      </c>
      <c r="BG366" s="383">
        <v>2023</v>
      </c>
      <c r="BH366" s="383">
        <v>1</v>
      </c>
      <c r="BI366" s="383">
        <v>19</v>
      </c>
      <c r="BK366" s="147" t="str">
        <f>IF(R366=SUM(Z366,AH366,AP366,AX366,BF366),"○","×")</f>
        <v>○</v>
      </c>
    </row>
    <row r="367" spans="1:63" x14ac:dyDescent="0.2">
      <c r="A367" s="428">
        <v>1563</v>
      </c>
      <c r="B367" s="429"/>
      <c r="C367" s="430"/>
      <c r="D367" s="429"/>
      <c r="E367" s="430"/>
      <c r="F367" s="429"/>
      <c r="G367" s="429"/>
      <c r="H367" s="430"/>
      <c r="I367" s="429"/>
      <c r="J367" s="429"/>
      <c r="K367" s="429"/>
      <c r="L367" s="383"/>
      <c r="M367" s="383" t="s">
        <v>623</v>
      </c>
      <c r="N367" s="383" t="s">
        <v>353</v>
      </c>
      <c r="O367" s="383" t="s">
        <v>395</v>
      </c>
      <c r="P367" s="383" t="s">
        <v>970</v>
      </c>
      <c r="Q367" s="383"/>
      <c r="R367" s="431">
        <v>229000</v>
      </c>
      <c r="S367" s="158">
        <v>0</v>
      </c>
      <c r="T367" s="158">
        <v>0</v>
      </c>
      <c r="U367" s="158">
        <v>0</v>
      </c>
      <c r="V367" s="158">
        <v>0</v>
      </c>
      <c r="W367" s="158">
        <v>0</v>
      </c>
      <c r="X367" s="158">
        <v>0</v>
      </c>
      <c r="Y367" s="158">
        <v>0</v>
      </c>
      <c r="Z367" s="158">
        <v>0</v>
      </c>
      <c r="AA367" s="432">
        <v>0</v>
      </c>
      <c r="AB367" s="432">
        <v>0</v>
      </c>
      <c r="AC367" s="432">
        <v>0</v>
      </c>
      <c r="AD367" s="432">
        <v>0</v>
      </c>
      <c r="AE367" s="432">
        <v>0</v>
      </c>
      <c r="AF367" s="432">
        <v>0</v>
      </c>
      <c r="AG367" s="432">
        <v>0</v>
      </c>
      <c r="AH367" s="432">
        <v>0</v>
      </c>
      <c r="AI367" s="158">
        <v>229200</v>
      </c>
      <c r="AJ367" s="158">
        <v>0</v>
      </c>
      <c r="AK367" s="158">
        <v>229200</v>
      </c>
      <c r="AL367" s="158">
        <v>229200</v>
      </c>
      <c r="AM367" s="158">
        <v>7884000</v>
      </c>
      <c r="AN367" s="158">
        <v>229200</v>
      </c>
      <c r="AO367" s="158">
        <v>229200</v>
      </c>
      <c r="AP367" s="158">
        <v>229000</v>
      </c>
      <c r="AQ367" s="432">
        <v>0</v>
      </c>
      <c r="AR367" s="432">
        <v>0</v>
      </c>
      <c r="AS367" s="432">
        <v>0</v>
      </c>
      <c r="AT367" s="432">
        <v>0</v>
      </c>
      <c r="AU367" s="432">
        <v>0</v>
      </c>
      <c r="AV367" s="432">
        <v>0</v>
      </c>
      <c r="AW367" s="432">
        <v>0</v>
      </c>
      <c r="AX367" s="432">
        <v>0</v>
      </c>
      <c r="AY367" s="158">
        <v>0</v>
      </c>
      <c r="AZ367" s="158">
        <v>0</v>
      </c>
      <c r="BA367" s="158">
        <v>0</v>
      </c>
      <c r="BB367" s="158">
        <v>0</v>
      </c>
      <c r="BC367" s="158">
        <v>0</v>
      </c>
      <c r="BD367" s="158">
        <v>0</v>
      </c>
      <c r="BE367" s="158">
        <v>0</v>
      </c>
      <c r="BF367" s="160">
        <v>0</v>
      </c>
      <c r="BG367" s="383">
        <v>2023</v>
      </c>
      <c r="BH367" s="383">
        <v>1</v>
      </c>
      <c r="BI367" s="383">
        <v>19</v>
      </c>
      <c r="BK367" s="147" t="str">
        <f>IF(R367=SUM(Z367,AH367,AP367,AX367,BF367),"○","×")</f>
        <v>○</v>
      </c>
    </row>
    <row r="368" spans="1:63" x14ac:dyDescent="0.2">
      <c r="A368" s="428">
        <v>1564</v>
      </c>
      <c r="B368" s="429"/>
      <c r="C368" s="430"/>
      <c r="D368" s="429"/>
      <c r="E368" s="430"/>
      <c r="F368" s="429"/>
      <c r="G368" s="429"/>
      <c r="H368" s="430"/>
      <c r="I368" s="429"/>
      <c r="J368" s="429"/>
      <c r="K368" s="429"/>
      <c r="L368" s="383"/>
      <c r="M368" s="383" t="s">
        <v>803</v>
      </c>
      <c r="N368" s="383" t="s">
        <v>367</v>
      </c>
      <c r="O368" s="383" t="s">
        <v>804</v>
      </c>
      <c r="P368" s="383" t="s">
        <v>970</v>
      </c>
      <c r="Q368" s="383"/>
      <c r="R368" s="431">
        <v>228000</v>
      </c>
      <c r="S368" s="158">
        <v>0</v>
      </c>
      <c r="T368" s="158">
        <v>0</v>
      </c>
      <c r="U368" s="158">
        <v>0</v>
      </c>
      <c r="V368" s="158">
        <v>0</v>
      </c>
      <c r="W368" s="158">
        <v>0</v>
      </c>
      <c r="X368" s="158">
        <v>0</v>
      </c>
      <c r="Y368" s="158">
        <v>0</v>
      </c>
      <c r="Z368" s="158">
        <v>0</v>
      </c>
      <c r="AA368" s="432">
        <v>0</v>
      </c>
      <c r="AB368" s="432">
        <v>0</v>
      </c>
      <c r="AC368" s="432">
        <v>0</v>
      </c>
      <c r="AD368" s="432">
        <v>0</v>
      </c>
      <c r="AE368" s="432">
        <v>0</v>
      </c>
      <c r="AF368" s="432">
        <v>0</v>
      </c>
      <c r="AG368" s="432">
        <v>0</v>
      </c>
      <c r="AH368" s="432">
        <v>0</v>
      </c>
      <c r="AI368" s="158">
        <v>228420</v>
      </c>
      <c r="AJ368" s="158">
        <v>0</v>
      </c>
      <c r="AK368" s="158">
        <v>228420</v>
      </c>
      <c r="AL368" s="158">
        <v>228420</v>
      </c>
      <c r="AM368" s="158">
        <v>2131200</v>
      </c>
      <c r="AN368" s="158">
        <v>228420</v>
      </c>
      <c r="AO368" s="158">
        <v>228420</v>
      </c>
      <c r="AP368" s="158">
        <v>228000</v>
      </c>
      <c r="AQ368" s="432">
        <v>0</v>
      </c>
      <c r="AR368" s="432">
        <v>0</v>
      </c>
      <c r="AS368" s="432">
        <v>0</v>
      </c>
      <c r="AT368" s="432">
        <v>0</v>
      </c>
      <c r="AU368" s="432">
        <v>0</v>
      </c>
      <c r="AV368" s="432">
        <v>0</v>
      </c>
      <c r="AW368" s="432">
        <v>0</v>
      </c>
      <c r="AX368" s="432">
        <v>0</v>
      </c>
      <c r="AY368" s="158">
        <v>0</v>
      </c>
      <c r="AZ368" s="158">
        <v>0</v>
      </c>
      <c r="BA368" s="158">
        <v>0</v>
      </c>
      <c r="BB368" s="158">
        <v>0</v>
      </c>
      <c r="BC368" s="158">
        <v>0</v>
      </c>
      <c r="BD368" s="158">
        <v>0</v>
      </c>
      <c r="BE368" s="158">
        <v>0</v>
      </c>
      <c r="BF368" s="160">
        <v>0</v>
      </c>
      <c r="BG368" s="383">
        <v>2023</v>
      </c>
      <c r="BH368" s="383">
        <v>1</v>
      </c>
      <c r="BI368" s="383">
        <v>19</v>
      </c>
      <c r="BK368" s="147" t="str">
        <f>IF(R368=SUM(Z368,AH368,AP368,AX368,BF368),"○","×")</f>
        <v>○</v>
      </c>
    </row>
    <row r="369" spans="1:63" x14ac:dyDescent="0.2">
      <c r="A369" s="428">
        <v>1565</v>
      </c>
      <c r="B369" s="429"/>
      <c r="C369" s="430"/>
      <c r="D369" s="429"/>
      <c r="E369" s="430"/>
      <c r="F369" s="429"/>
      <c r="G369" s="429"/>
      <c r="H369" s="430"/>
      <c r="I369" s="429"/>
      <c r="J369" s="429"/>
      <c r="K369" s="429"/>
      <c r="L369" s="383"/>
      <c r="M369" s="383" t="s">
        <v>805</v>
      </c>
      <c r="N369" s="383" t="s">
        <v>335</v>
      </c>
      <c r="O369" s="383" t="s">
        <v>378</v>
      </c>
      <c r="P369" s="383" t="s">
        <v>970</v>
      </c>
      <c r="Q369" s="146"/>
      <c r="R369" s="431">
        <v>701000</v>
      </c>
      <c r="S369" s="158">
        <v>0</v>
      </c>
      <c r="T369" s="158">
        <v>0</v>
      </c>
      <c r="U369" s="158">
        <v>0</v>
      </c>
      <c r="V369" s="158">
        <v>0</v>
      </c>
      <c r="W369" s="158">
        <v>0</v>
      </c>
      <c r="X369" s="158">
        <v>0</v>
      </c>
      <c r="Y369" s="158">
        <v>0</v>
      </c>
      <c r="Z369" s="158">
        <v>0</v>
      </c>
      <c r="AA369" s="432">
        <v>0</v>
      </c>
      <c r="AB369" s="432">
        <v>0</v>
      </c>
      <c r="AC369" s="432">
        <v>0</v>
      </c>
      <c r="AD369" s="432">
        <v>0</v>
      </c>
      <c r="AE369" s="432">
        <v>0</v>
      </c>
      <c r="AF369" s="432">
        <v>0</v>
      </c>
      <c r="AG369" s="432">
        <v>0</v>
      </c>
      <c r="AH369" s="432">
        <v>0</v>
      </c>
      <c r="AI369" s="158">
        <v>701270</v>
      </c>
      <c r="AJ369" s="158">
        <v>0</v>
      </c>
      <c r="AK369" s="158">
        <v>701270</v>
      </c>
      <c r="AL369" s="158">
        <v>701270</v>
      </c>
      <c r="AM369" s="158">
        <v>1306800</v>
      </c>
      <c r="AN369" s="158">
        <v>701270</v>
      </c>
      <c r="AO369" s="158">
        <v>701270</v>
      </c>
      <c r="AP369" s="158">
        <v>701000</v>
      </c>
      <c r="AQ369" s="432">
        <v>0</v>
      </c>
      <c r="AR369" s="432">
        <v>0</v>
      </c>
      <c r="AS369" s="432">
        <v>0</v>
      </c>
      <c r="AT369" s="432">
        <v>0</v>
      </c>
      <c r="AU369" s="432">
        <v>0</v>
      </c>
      <c r="AV369" s="432">
        <v>0</v>
      </c>
      <c r="AW369" s="432">
        <v>0</v>
      </c>
      <c r="AX369" s="432">
        <v>0</v>
      </c>
      <c r="AY369" s="158">
        <v>0</v>
      </c>
      <c r="AZ369" s="158">
        <v>0</v>
      </c>
      <c r="BA369" s="158">
        <v>0</v>
      </c>
      <c r="BB369" s="158">
        <v>0</v>
      </c>
      <c r="BC369" s="158">
        <v>0</v>
      </c>
      <c r="BD369" s="158">
        <v>0</v>
      </c>
      <c r="BE369" s="158">
        <v>0</v>
      </c>
      <c r="BF369" s="160">
        <v>0</v>
      </c>
      <c r="BG369" s="383">
        <v>2023</v>
      </c>
      <c r="BH369" s="383">
        <v>1</v>
      </c>
      <c r="BI369" s="383">
        <v>19</v>
      </c>
      <c r="BK369" s="147" t="str">
        <f>IF(R369=SUM(Z369,AH369,AP369,AX369,BF369),"○","×")</f>
        <v>○</v>
      </c>
    </row>
    <row r="370" spans="1:63" x14ac:dyDescent="0.2">
      <c r="A370" s="428">
        <v>1566</v>
      </c>
      <c r="B370" s="429"/>
      <c r="C370" s="430"/>
      <c r="D370" s="429"/>
      <c r="E370" s="430"/>
      <c r="F370" s="429"/>
      <c r="G370" s="429"/>
      <c r="H370" s="430"/>
      <c r="I370" s="429"/>
      <c r="J370" s="429"/>
      <c r="K370" s="429"/>
      <c r="L370" s="383"/>
      <c r="M370" s="383" t="s">
        <v>805</v>
      </c>
      <c r="N370" s="383" t="s">
        <v>335</v>
      </c>
      <c r="O370" s="383" t="s">
        <v>378</v>
      </c>
      <c r="P370" s="383" t="s">
        <v>970</v>
      </c>
      <c r="Q370" s="383"/>
      <c r="R370" s="431">
        <v>1080000</v>
      </c>
      <c r="S370" s="158">
        <v>0</v>
      </c>
      <c r="T370" s="158">
        <v>0</v>
      </c>
      <c r="U370" s="158">
        <v>0</v>
      </c>
      <c r="V370" s="158">
        <v>0</v>
      </c>
      <c r="W370" s="158">
        <v>0</v>
      </c>
      <c r="X370" s="158">
        <v>0</v>
      </c>
      <c r="Y370" s="158">
        <v>0</v>
      </c>
      <c r="Z370" s="158">
        <v>0</v>
      </c>
      <c r="AA370" s="432">
        <v>0</v>
      </c>
      <c r="AB370" s="432">
        <v>0</v>
      </c>
      <c r="AC370" s="432">
        <v>0</v>
      </c>
      <c r="AD370" s="432">
        <v>0</v>
      </c>
      <c r="AE370" s="432">
        <v>0</v>
      </c>
      <c r="AF370" s="432">
        <v>0</v>
      </c>
      <c r="AG370" s="432">
        <v>0</v>
      </c>
      <c r="AH370" s="432">
        <v>0</v>
      </c>
      <c r="AI370" s="158">
        <v>1080057</v>
      </c>
      <c r="AJ370" s="158">
        <v>0</v>
      </c>
      <c r="AK370" s="158">
        <v>1080057</v>
      </c>
      <c r="AL370" s="158">
        <v>1080057</v>
      </c>
      <c r="AM370" s="158">
        <v>1576800</v>
      </c>
      <c r="AN370" s="158">
        <v>1080057</v>
      </c>
      <c r="AO370" s="158">
        <v>1080057</v>
      </c>
      <c r="AP370" s="158">
        <v>1080000</v>
      </c>
      <c r="AQ370" s="432">
        <v>0</v>
      </c>
      <c r="AR370" s="432">
        <v>0</v>
      </c>
      <c r="AS370" s="432">
        <v>0</v>
      </c>
      <c r="AT370" s="432">
        <v>0</v>
      </c>
      <c r="AU370" s="432">
        <v>0</v>
      </c>
      <c r="AV370" s="432">
        <v>0</v>
      </c>
      <c r="AW370" s="432">
        <v>0</v>
      </c>
      <c r="AX370" s="432">
        <v>0</v>
      </c>
      <c r="AY370" s="158">
        <v>0</v>
      </c>
      <c r="AZ370" s="158">
        <v>0</v>
      </c>
      <c r="BA370" s="158">
        <v>0</v>
      </c>
      <c r="BB370" s="158">
        <v>0</v>
      </c>
      <c r="BC370" s="158">
        <v>0</v>
      </c>
      <c r="BD370" s="158">
        <v>0</v>
      </c>
      <c r="BE370" s="158">
        <v>0</v>
      </c>
      <c r="BF370" s="160">
        <v>0</v>
      </c>
      <c r="BG370" s="383">
        <v>2023</v>
      </c>
      <c r="BH370" s="383">
        <v>1</v>
      </c>
      <c r="BI370" s="383">
        <v>19</v>
      </c>
      <c r="BK370" s="147" t="str">
        <f>IF(R370=SUM(Z370,AH370,AP370,AX370,BF370),"○","×")</f>
        <v>○</v>
      </c>
    </row>
    <row r="371" spans="1:63" x14ac:dyDescent="0.2">
      <c r="A371" s="428">
        <v>1567</v>
      </c>
      <c r="B371" s="429"/>
      <c r="C371" s="430"/>
      <c r="D371" s="429"/>
      <c r="E371" s="430"/>
      <c r="F371" s="429"/>
      <c r="G371" s="429"/>
      <c r="H371" s="430"/>
      <c r="I371" s="429"/>
      <c r="J371" s="429"/>
      <c r="K371" s="429"/>
      <c r="L371" s="383"/>
      <c r="M371" s="383" t="s">
        <v>805</v>
      </c>
      <c r="N371" s="383" t="s">
        <v>335</v>
      </c>
      <c r="O371" s="383" t="s">
        <v>378</v>
      </c>
      <c r="P371" s="383" t="s">
        <v>970</v>
      </c>
      <c r="Q371" s="383"/>
      <c r="R371" s="431">
        <v>1516000</v>
      </c>
      <c r="S371" s="158">
        <v>0</v>
      </c>
      <c r="T371" s="158">
        <v>0</v>
      </c>
      <c r="U371" s="158">
        <v>0</v>
      </c>
      <c r="V371" s="158">
        <v>0</v>
      </c>
      <c r="W371" s="158">
        <v>0</v>
      </c>
      <c r="X371" s="158">
        <v>0</v>
      </c>
      <c r="Y371" s="158">
        <v>0</v>
      </c>
      <c r="Z371" s="158">
        <v>0</v>
      </c>
      <c r="AA371" s="432">
        <v>0</v>
      </c>
      <c r="AB371" s="432">
        <v>0</v>
      </c>
      <c r="AC371" s="432">
        <v>0</v>
      </c>
      <c r="AD371" s="432">
        <v>0</v>
      </c>
      <c r="AE371" s="432">
        <v>0</v>
      </c>
      <c r="AF371" s="432">
        <v>0</v>
      </c>
      <c r="AG371" s="432">
        <v>0</v>
      </c>
      <c r="AH371" s="432">
        <v>0</v>
      </c>
      <c r="AI371" s="158">
        <v>1516621</v>
      </c>
      <c r="AJ371" s="158">
        <v>0</v>
      </c>
      <c r="AK371" s="158">
        <v>1516621</v>
      </c>
      <c r="AL371" s="158">
        <v>1516621</v>
      </c>
      <c r="AM371" s="158">
        <v>1576800</v>
      </c>
      <c r="AN371" s="158">
        <v>1516621</v>
      </c>
      <c r="AO371" s="158">
        <v>1516621</v>
      </c>
      <c r="AP371" s="158">
        <v>1516000</v>
      </c>
      <c r="AQ371" s="432">
        <v>0</v>
      </c>
      <c r="AR371" s="432">
        <v>0</v>
      </c>
      <c r="AS371" s="432">
        <v>0</v>
      </c>
      <c r="AT371" s="432">
        <v>0</v>
      </c>
      <c r="AU371" s="432">
        <v>0</v>
      </c>
      <c r="AV371" s="432">
        <v>0</v>
      </c>
      <c r="AW371" s="432">
        <v>0</v>
      </c>
      <c r="AX371" s="432">
        <v>0</v>
      </c>
      <c r="AY371" s="158">
        <v>0</v>
      </c>
      <c r="AZ371" s="158">
        <v>0</v>
      </c>
      <c r="BA371" s="158">
        <v>0</v>
      </c>
      <c r="BB371" s="158">
        <v>0</v>
      </c>
      <c r="BC371" s="158">
        <v>0</v>
      </c>
      <c r="BD371" s="158">
        <v>0</v>
      </c>
      <c r="BE371" s="158">
        <v>0</v>
      </c>
      <c r="BF371" s="160">
        <v>0</v>
      </c>
      <c r="BG371" s="383">
        <v>2023</v>
      </c>
      <c r="BH371" s="383">
        <v>1</v>
      </c>
      <c r="BI371" s="383">
        <v>19</v>
      </c>
      <c r="BK371" s="147" t="str">
        <f>IF(R371=SUM(Z371,AH371,AP371,AX371,BF371),"○","×")</f>
        <v>○</v>
      </c>
    </row>
    <row r="372" spans="1:63" x14ac:dyDescent="0.2">
      <c r="A372" s="428">
        <v>1568</v>
      </c>
      <c r="B372" s="429"/>
      <c r="C372" s="430"/>
      <c r="D372" s="429"/>
      <c r="E372" s="430"/>
      <c r="F372" s="429"/>
      <c r="G372" s="429"/>
      <c r="H372" s="430"/>
      <c r="I372" s="429"/>
      <c r="J372" s="429"/>
      <c r="K372" s="429"/>
      <c r="L372" s="383"/>
      <c r="M372" s="383" t="s">
        <v>805</v>
      </c>
      <c r="N372" s="383" t="s">
        <v>335</v>
      </c>
      <c r="O372" s="383" t="s">
        <v>378</v>
      </c>
      <c r="P372" s="383" t="s">
        <v>970</v>
      </c>
      <c r="Q372" s="383"/>
      <c r="R372" s="431">
        <v>182000</v>
      </c>
      <c r="S372" s="158">
        <v>0</v>
      </c>
      <c r="T372" s="158">
        <v>0</v>
      </c>
      <c r="U372" s="158">
        <v>0</v>
      </c>
      <c r="V372" s="158">
        <v>0</v>
      </c>
      <c r="W372" s="158">
        <v>0</v>
      </c>
      <c r="X372" s="158">
        <v>0</v>
      </c>
      <c r="Y372" s="158">
        <v>0</v>
      </c>
      <c r="Z372" s="158">
        <v>0</v>
      </c>
      <c r="AA372" s="432">
        <v>0</v>
      </c>
      <c r="AB372" s="432">
        <v>0</v>
      </c>
      <c r="AC372" s="432">
        <v>0</v>
      </c>
      <c r="AD372" s="432">
        <v>0</v>
      </c>
      <c r="AE372" s="432">
        <v>0</v>
      </c>
      <c r="AF372" s="432">
        <v>0</v>
      </c>
      <c r="AG372" s="432">
        <v>0</v>
      </c>
      <c r="AH372" s="432">
        <v>0</v>
      </c>
      <c r="AI372" s="158">
        <v>182528</v>
      </c>
      <c r="AJ372" s="158">
        <v>0</v>
      </c>
      <c r="AK372" s="158">
        <v>182528</v>
      </c>
      <c r="AL372" s="158">
        <v>182528</v>
      </c>
      <c r="AM372" s="158">
        <v>788400</v>
      </c>
      <c r="AN372" s="158">
        <v>182528</v>
      </c>
      <c r="AO372" s="158">
        <v>182528</v>
      </c>
      <c r="AP372" s="158">
        <v>182000</v>
      </c>
      <c r="AQ372" s="432">
        <v>0</v>
      </c>
      <c r="AR372" s="432">
        <v>0</v>
      </c>
      <c r="AS372" s="432">
        <v>0</v>
      </c>
      <c r="AT372" s="432">
        <v>0</v>
      </c>
      <c r="AU372" s="432">
        <v>0</v>
      </c>
      <c r="AV372" s="432">
        <v>0</v>
      </c>
      <c r="AW372" s="432">
        <v>0</v>
      </c>
      <c r="AX372" s="432">
        <v>0</v>
      </c>
      <c r="AY372" s="158">
        <v>0</v>
      </c>
      <c r="AZ372" s="158">
        <v>0</v>
      </c>
      <c r="BA372" s="158">
        <v>0</v>
      </c>
      <c r="BB372" s="158">
        <v>0</v>
      </c>
      <c r="BC372" s="158">
        <v>0</v>
      </c>
      <c r="BD372" s="158">
        <v>0</v>
      </c>
      <c r="BE372" s="158">
        <v>0</v>
      </c>
      <c r="BF372" s="160">
        <v>0</v>
      </c>
      <c r="BG372" s="383">
        <v>2023</v>
      </c>
      <c r="BH372" s="383">
        <v>1</v>
      </c>
      <c r="BI372" s="383">
        <v>19</v>
      </c>
      <c r="BK372" s="147" t="str">
        <f>IF(R372=SUM(Z372,AH372,AP372,AX372,BF372),"○","×")</f>
        <v>○</v>
      </c>
    </row>
    <row r="373" spans="1:63" x14ac:dyDescent="0.2">
      <c r="A373" s="428">
        <v>1569</v>
      </c>
      <c r="B373" s="429"/>
      <c r="C373" s="430"/>
      <c r="D373" s="429"/>
      <c r="E373" s="430"/>
      <c r="F373" s="429"/>
      <c r="G373" s="429"/>
      <c r="H373" s="430"/>
      <c r="I373" s="429"/>
      <c r="J373" s="429"/>
      <c r="K373" s="429"/>
      <c r="L373" s="383"/>
      <c r="M373" s="383" t="s">
        <v>806</v>
      </c>
      <c r="N373" s="383" t="s">
        <v>807</v>
      </c>
      <c r="O373" s="383" t="s">
        <v>378</v>
      </c>
      <c r="P373" s="383" t="s">
        <v>970</v>
      </c>
      <c r="Q373" s="383"/>
      <c r="R373" s="431">
        <v>216000</v>
      </c>
      <c r="S373" s="158">
        <v>0</v>
      </c>
      <c r="T373" s="158">
        <v>0</v>
      </c>
      <c r="U373" s="158">
        <v>0</v>
      </c>
      <c r="V373" s="158">
        <v>0</v>
      </c>
      <c r="W373" s="158">
        <v>0</v>
      </c>
      <c r="X373" s="158">
        <v>0</v>
      </c>
      <c r="Y373" s="158">
        <v>0</v>
      </c>
      <c r="Z373" s="158">
        <v>0</v>
      </c>
      <c r="AA373" s="432">
        <v>0</v>
      </c>
      <c r="AB373" s="432">
        <v>0</v>
      </c>
      <c r="AC373" s="432">
        <v>0</v>
      </c>
      <c r="AD373" s="432">
        <v>0</v>
      </c>
      <c r="AE373" s="432">
        <v>0</v>
      </c>
      <c r="AF373" s="432">
        <v>0</v>
      </c>
      <c r="AG373" s="432">
        <v>0</v>
      </c>
      <c r="AH373" s="432">
        <v>0</v>
      </c>
      <c r="AI373" s="158">
        <v>216089</v>
      </c>
      <c r="AJ373" s="158">
        <v>0</v>
      </c>
      <c r="AK373" s="158">
        <v>216089</v>
      </c>
      <c r="AL373" s="158">
        <v>216089</v>
      </c>
      <c r="AM373" s="158">
        <v>1306800</v>
      </c>
      <c r="AN373" s="158">
        <v>216089</v>
      </c>
      <c r="AO373" s="158">
        <v>216089</v>
      </c>
      <c r="AP373" s="158">
        <v>216000</v>
      </c>
      <c r="AQ373" s="432">
        <v>0</v>
      </c>
      <c r="AR373" s="432">
        <v>0</v>
      </c>
      <c r="AS373" s="432">
        <v>0</v>
      </c>
      <c r="AT373" s="432">
        <v>0</v>
      </c>
      <c r="AU373" s="432">
        <v>0</v>
      </c>
      <c r="AV373" s="432">
        <v>0</v>
      </c>
      <c r="AW373" s="432">
        <v>0</v>
      </c>
      <c r="AX373" s="432">
        <v>0</v>
      </c>
      <c r="AY373" s="158">
        <v>0</v>
      </c>
      <c r="AZ373" s="158">
        <v>0</v>
      </c>
      <c r="BA373" s="158">
        <v>0</v>
      </c>
      <c r="BB373" s="158">
        <v>0</v>
      </c>
      <c r="BC373" s="158">
        <v>0</v>
      </c>
      <c r="BD373" s="158">
        <v>0</v>
      </c>
      <c r="BE373" s="158">
        <v>0</v>
      </c>
      <c r="BF373" s="160">
        <v>0</v>
      </c>
      <c r="BG373" s="383">
        <v>2023</v>
      </c>
      <c r="BH373" s="383">
        <v>1</v>
      </c>
      <c r="BI373" s="383">
        <v>19</v>
      </c>
      <c r="BK373" s="147" t="str">
        <f>IF(R373=SUM(Z373,AH373,AP373,AX373,BF373),"○","×")</f>
        <v>○</v>
      </c>
    </row>
    <row r="374" spans="1:63" x14ac:dyDescent="0.2">
      <c r="A374" s="428">
        <v>1570</v>
      </c>
      <c r="B374" s="429"/>
      <c r="C374" s="430"/>
      <c r="D374" s="429"/>
      <c r="E374" s="430"/>
      <c r="F374" s="429"/>
      <c r="G374" s="429"/>
      <c r="H374" s="430"/>
      <c r="I374" s="429"/>
      <c r="J374" s="429"/>
      <c r="K374" s="429"/>
      <c r="L374" s="383"/>
      <c r="M374" s="383" t="s">
        <v>805</v>
      </c>
      <c r="N374" s="383" t="s">
        <v>335</v>
      </c>
      <c r="O374" s="383" t="s">
        <v>378</v>
      </c>
      <c r="P374" s="383" t="s">
        <v>970</v>
      </c>
      <c r="Q374" s="383"/>
      <c r="R374" s="431">
        <v>701000</v>
      </c>
      <c r="S374" s="158">
        <v>0</v>
      </c>
      <c r="T374" s="158">
        <v>0</v>
      </c>
      <c r="U374" s="158">
        <v>0</v>
      </c>
      <c r="V374" s="158">
        <v>0</v>
      </c>
      <c r="W374" s="158">
        <v>0</v>
      </c>
      <c r="X374" s="158">
        <v>0</v>
      </c>
      <c r="Y374" s="158">
        <v>0</v>
      </c>
      <c r="Z374" s="158">
        <v>0</v>
      </c>
      <c r="AA374" s="432">
        <v>0</v>
      </c>
      <c r="AB374" s="432">
        <v>0</v>
      </c>
      <c r="AC374" s="432">
        <v>0</v>
      </c>
      <c r="AD374" s="432">
        <v>0</v>
      </c>
      <c r="AE374" s="432">
        <v>0</v>
      </c>
      <c r="AF374" s="432">
        <v>0</v>
      </c>
      <c r="AG374" s="432">
        <v>0</v>
      </c>
      <c r="AH374" s="432">
        <v>0</v>
      </c>
      <c r="AI374" s="158">
        <v>701270</v>
      </c>
      <c r="AJ374" s="158">
        <v>0</v>
      </c>
      <c r="AK374" s="158">
        <v>701270</v>
      </c>
      <c r="AL374" s="158">
        <v>701270</v>
      </c>
      <c r="AM374" s="158">
        <v>1317600</v>
      </c>
      <c r="AN374" s="158">
        <v>701270</v>
      </c>
      <c r="AO374" s="158">
        <v>701270</v>
      </c>
      <c r="AP374" s="158">
        <v>701000</v>
      </c>
      <c r="AQ374" s="432">
        <v>0</v>
      </c>
      <c r="AR374" s="432">
        <v>0</v>
      </c>
      <c r="AS374" s="432">
        <v>0</v>
      </c>
      <c r="AT374" s="432">
        <v>0</v>
      </c>
      <c r="AU374" s="432">
        <v>0</v>
      </c>
      <c r="AV374" s="432">
        <v>0</v>
      </c>
      <c r="AW374" s="432">
        <v>0</v>
      </c>
      <c r="AX374" s="432">
        <v>0</v>
      </c>
      <c r="AY374" s="158">
        <v>0</v>
      </c>
      <c r="AZ374" s="158">
        <v>0</v>
      </c>
      <c r="BA374" s="158">
        <v>0</v>
      </c>
      <c r="BB374" s="158">
        <v>0</v>
      </c>
      <c r="BC374" s="158">
        <v>0</v>
      </c>
      <c r="BD374" s="158">
        <v>0</v>
      </c>
      <c r="BE374" s="158">
        <v>0</v>
      </c>
      <c r="BF374" s="160">
        <v>0</v>
      </c>
      <c r="BG374" s="383">
        <v>2023</v>
      </c>
      <c r="BH374" s="383">
        <v>1</v>
      </c>
      <c r="BI374" s="383">
        <v>19</v>
      </c>
      <c r="BK374" s="147" t="str">
        <f>IF(R374=SUM(Z374,AH374,AP374,AX374,BF374),"○","×")</f>
        <v>○</v>
      </c>
    </row>
    <row r="375" spans="1:63" x14ac:dyDescent="0.2">
      <c r="A375" s="428">
        <v>1571</v>
      </c>
      <c r="B375" s="429"/>
      <c r="C375" s="430"/>
      <c r="D375" s="429"/>
      <c r="E375" s="430"/>
      <c r="F375" s="429"/>
      <c r="G375" s="429"/>
      <c r="H375" s="430"/>
      <c r="I375" s="429"/>
      <c r="J375" s="429"/>
      <c r="K375" s="429"/>
      <c r="L375" s="383"/>
      <c r="M375" s="383" t="s">
        <v>805</v>
      </c>
      <c r="N375" s="383" t="s">
        <v>335</v>
      </c>
      <c r="O375" s="383" t="s">
        <v>378</v>
      </c>
      <c r="P375" s="383" t="s">
        <v>970</v>
      </c>
      <c r="Q375" s="383"/>
      <c r="R375" s="431">
        <v>147000</v>
      </c>
      <c r="S375" s="158">
        <v>0</v>
      </c>
      <c r="T375" s="158">
        <v>0</v>
      </c>
      <c r="U375" s="158">
        <v>0</v>
      </c>
      <c r="V375" s="158">
        <v>0</v>
      </c>
      <c r="W375" s="158">
        <v>0</v>
      </c>
      <c r="X375" s="158">
        <v>0</v>
      </c>
      <c r="Y375" s="158">
        <v>0</v>
      </c>
      <c r="Z375" s="158">
        <v>0</v>
      </c>
      <c r="AA375" s="432">
        <v>0</v>
      </c>
      <c r="AB375" s="432">
        <v>0</v>
      </c>
      <c r="AC375" s="432">
        <v>0</v>
      </c>
      <c r="AD375" s="432">
        <v>0</v>
      </c>
      <c r="AE375" s="432">
        <v>0</v>
      </c>
      <c r="AF375" s="432">
        <v>0</v>
      </c>
      <c r="AG375" s="432">
        <v>0</v>
      </c>
      <c r="AH375" s="432">
        <v>0</v>
      </c>
      <c r="AI375" s="158">
        <v>147837</v>
      </c>
      <c r="AJ375" s="158">
        <v>0</v>
      </c>
      <c r="AK375" s="158">
        <v>147837</v>
      </c>
      <c r="AL375" s="158">
        <v>147837</v>
      </c>
      <c r="AM375" s="158">
        <v>529200</v>
      </c>
      <c r="AN375" s="158">
        <v>147837</v>
      </c>
      <c r="AO375" s="158">
        <v>147837</v>
      </c>
      <c r="AP375" s="158">
        <v>147000</v>
      </c>
      <c r="AQ375" s="432">
        <v>0</v>
      </c>
      <c r="AR375" s="432">
        <v>0</v>
      </c>
      <c r="AS375" s="432">
        <v>0</v>
      </c>
      <c r="AT375" s="432">
        <v>0</v>
      </c>
      <c r="AU375" s="432">
        <v>0</v>
      </c>
      <c r="AV375" s="432">
        <v>0</v>
      </c>
      <c r="AW375" s="432">
        <v>0</v>
      </c>
      <c r="AX375" s="432">
        <v>0</v>
      </c>
      <c r="AY375" s="158">
        <v>0</v>
      </c>
      <c r="AZ375" s="158">
        <v>0</v>
      </c>
      <c r="BA375" s="158">
        <v>0</v>
      </c>
      <c r="BB375" s="158">
        <v>0</v>
      </c>
      <c r="BC375" s="158">
        <v>0</v>
      </c>
      <c r="BD375" s="158">
        <v>0</v>
      </c>
      <c r="BE375" s="158">
        <v>0</v>
      </c>
      <c r="BF375" s="160">
        <v>0</v>
      </c>
      <c r="BG375" s="383">
        <v>2023</v>
      </c>
      <c r="BH375" s="383">
        <v>1</v>
      </c>
      <c r="BI375" s="383">
        <v>19</v>
      </c>
      <c r="BK375" s="147" t="str">
        <f>IF(R375=SUM(Z375,AH375,AP375,AX375,BF375),"○","×")</f>
        <v>○</v>
      </c>
    </row>
    <row r="376" spans="1:63" x14ac:dyDescent="0.2">
      <c r="A376" s="428">
        <v>1572</v>
      </c>
      <c r="B376" s="429"/>
      <c r="C376" s="430"/>
      <c r="D376" s="429"/>
      <c r="E376" s="430"/>
      <c r="F376" s="429"/>
      <c r="G376" s="429"/>
      <c r="H376" s="430"/>
      <c r="I376" s="429"/>
      <c r="J376" s="429"/>
      <c r="K376" s="429"/>
      <c r="L376" s="383"/>
      <c r="M376" s="383" t="s">
        <v>805</v>
      </c>
      <c r="N376" s="383" t="s">
        <v>335</v>
      </c>
      <c r="O376" s="383" t="s">
        <v>378</v>
      </c>
      <c r="P376" s="383" t="s">
        <v>970</v>
      </c>
      <c r="Q376" s="383"/>
      <c r="R376" s="431">
        <v>447000</v>
      </c>
      <c r="S376" s="158">
        <v>0</v>
      </c>
      <c r="T376" s="158">
        <v>0</v>
      </c>
      <c r="U376" s="158">
        <v>0</v>
      </c>
      <c r="V376" s="158">
        <v>0</v>
      </c>
      <c r="W376" s="158">
        <v>0</v>
      </c>
      <c r="X376" s="158">
        <v>0</v>
      </c>
      <c r="Y376" s="158">
        <v>0</v>
      </c>
      <c r="Z376" s="158">
        <v>0</v>
      </c>
      <c r="AA376" s="432">
        <v>0</v>
      </c>
      <c r="AB376" s="432">
        <v>0</v>
      </c>
      <c r="AC376" s="432">
        <v>0</v>
      </c>
      <c r="AD376" s="432">
        <v>0</v>
      </c>
      <c r="AE376" s="432">
        <v>0</v>
      </c>
      <c r="AF376" s="432">
        <v>0</v>
      </c>
      <c r="AG376" s="432">
        <v>0</v>
      </c>
      <c r="AH376" s="432">
        <v>0</v>
      </c>
      <c r="AI376" s="158">
        <v>447234</v>
      </c>
      <c r="AJ376" s="158">
        <v>0</v>
      </c>
      <c r="AK376" s="158">
        <v>447234</v>
      </c>
      <c r="AL376" s="158">
        <v>447234</v>
      </c>
      <c r="AM376" s="158">
        <v>1566000</v>
      </c>
      <c r="AN376" s="158">
        <v>447234</v>
      </c>
      <c r="AO376" s="158">
        <v>447234</v>
      </c>
      <c r="AP376" s="158">
        <v>447000</v>
      </c>
      <c r="AQ376" s="432">
        <v>0</v>
      </c>
      <c r="AR376" s="432">
        <v>0</v>
      </c>
      <c r="AS376" s="432">
        <v>0</v>
      </c>
      <c r="AT376" s="432">
        <v>0</v>
      </c>
      <c r="AU376" s="432">
        <v>0</v>
      </c>
      <c r="AV376" s="432">
        <v>0</v>
      </c>
      <c r="AW376" s="432">
        <v>0</v>
      </c>
      <c r="AX376" s="432">
        <v>0</v>
      </c>
      <c r="AY376" s="158">
        <v>0</v>
      </c>
      <c r="AZ376" s="158">
        <v>0</v>
      </c>
      <c r="BA376" s="158">
        <v>0</v>
      </c>
      <c r="BB376" s="158">
        <v>0</v>
      </c>
      <c r="BC376" s="158">
        <v>0</v>
      </c>
      <c r="BD376" s="158">
        <v>0</v>
      </c>
      <c r="BE376" s="158">
        <v>0</v>
      </c>
      <c r="BF376" s="160">
        <v>0</v>
      </c>
      <c r="BG376" s="383">
        <v>2023</v>
      </c>
      <c r="BH376" s="383">
        <v>1</v>
      </c>
      <c r="BI376" s="383">
        <v>19</v>
      </c>
      <c r="BK376" s="147" t="str">
        <f>IF(R376=SUM(Z376,AH376,AP376,AX376,BF376),"○","×")</f>
        <v>○</v>
      </c>
    </row>
    <row r="377" spans="1:63" x14ac:dyDescent="0.2">
      <c r="A377" s="428">
        <v>1573</v>
      </c>
      <c r="B377" s="429"/>
      <c r="C377" s="430"/>
      <c r="D377" s="429"/>
      <c r="E377" s="430"/>
      <c r="F377" s="429"/>
      <c r="G377" s="429"/>
      <c r="H377" s="430"/>
      <c r="I377" s="429"/>
      <c r="J377" s="429"/>
      <c r="K377" s="429"/>
      <c r="L377" s="383"/>
      <c r="M377" s="383" t="s">
        <v>805</v>
      </c>
      <c r="N377" s="383" t="s">
        <v>335</v>
      </c>
      <c r="O377" s="383" t="s">
        <v>378</v>
      </c>
      <c r="P377" s="383" t="s">
        <v>970</v>
      </c>
      <c r="Q377" s="383"/>
      <c r="R377" s="431">
        <v>701000</v>
      </c>
      <c r="S377" s="158">
        <v>0</v>
      </c>
      <c r="T377" s="158">
        <v>0</v>
      </c>
      <c r="U377" s="158">
        <v>0</v>
      </c>
      <c r="V377" s="158">
        <v>0</v>
      </c>
      <c r="W377" s="158">
        <v>0</v>
      </c>
      <c r="X377" s="158">
        <v>0</v>
      </c>
      <c r="Y377" s="158">
        <v>0</v>
      </c>
      <c r="Z377" s="158">
        <v>0</v>
      </c>
      <c r="AA377" s="432">
        <v>0</v>
      </c>
      <c r="AB377" s="432">
        <v>0</v>
      </c>
      <c r="AC377" s="432">
        <v>0</v>
      </c>
      <c r="AD377" s="432">
        <v>0</v>
      </c>
      <c r="AE377" s="432">
        <v>0</v>
      </c>
      <c r="AF377" s="432">
        <v>0</v>
      </c>
      <c r="AG377" s="432">
        <v>0</v>
      </c>
      <c r="AH377" s="432">
        <v>0</v>
      </c>
      <c r="AI377" s="158">
        <v>701270</v>
      </c>
      <c r="AJ377" s="158">
        <v>0</v>
      </c>
      <c r="AK377" s="158">
        <v>701270</v>
      </c>
      <c r="AL377" s="158">
        <v>701270</v>
      </c>
      <c r="AM377" s="158">
        <v>1306800</v>
      </c>
      <c r="AN377" s="158">
        <v>701270</v>
      </c>
      <c r="AO377" s="158">
        <v>701270</v>
      </c>
      <c r="AP377" s="158">
        <v>701000</v>
      </c>
      <c r="AQ377" s="432">
        <v>0</v>
      </c>
      <c r="AR377" s="432">
        <v>0</v>
      </c>
      <c r="AS377" s="432">
        <v>0</v>
      </c>
      <c r="AT377" s="432">
        <v>0</v>
      </c>
      <c r="AU377" s="432">
        <v>0</v>
      </c>
      <c r="AV377" s="432">
        <v>0</v>
      </c>
      <c r="AW377" s="432">
        <v>0</v>
      </c>
      <c r="AX377" s="432">
        <v>0</v>
      </c>
      <c r="AY377" s="158">
        <v>0</v>
      </c>
      <c r="AZ377" s="158">
        <v>0</v>
      </c>
      <c r="BA377" s="158">
        <v>0</v>
      </c>
      <c r="BB377" s="158">
        <v>0</v>
      </c>
      <c r="BC377" s="158">
        <v>0</v>
      </c>
      <c r="BD377" s="158">
        <v>0</v>
      </c>
      <c r="BE377" s="158">
        <v>0</v>
      </c>
      <c r="BF377" s="160">
        <v>0</v>
      </c>
      <c r="BG377" s="383">
        <v>2023</v>
      </c>
      <c r="BH377" s="383">
        <v>1</v>
      </c>
      <c r="BI377" s="383">
        <v>19</v>
      </c>
      <c r="BK377" s="147" t="str">
        <f>IF(R377=SUM(Z377,AH377,AP377,AX377,BF377),"○","×")</f>
        <v>○</v>
      </c>
    </row>
    <row r="378" spans="1:63" x14ac:dyDescent="0.2">
      <c r="A378" s="428">
        <v>1574</v>
      </c>
      <c r="B378" s="429"/>
      <c r="C378" s="430"/>
      <c r="D378" s="429"/>
      <c r="E378" s="430"/>
      <c r="F378" s="429"/>
      <c r="G378" s="429"/>
      <c r="H378" s="430"/>
      <c r="I378" s="429"/>
      <c r="J378" s="429"/>
      <c r="K378" s="429"/>
      <c r="L378" s="383"/>
      <c r="M378" s="383" t="s">
        <v>805</v>
      </c>
      <c r="N378" s="383" t="s">
        <v>335</v>
      </c>
      <c r="O378" s="383" t="s">
        <v>378</v>
      </c>
      <c r="P378" s="383" t="s">
        <v>970</v>
      </c>
      <c r="Q378" s="383"/>
      <c r="R378" s="431">
        <v>216000</v>
      </c>
      <c r="S378" s="158">
        <v>0</v>
      </c>
      <c r="T378" s="158">
        <v>0</v>
      </c>
      <c r="U378" s="158">
        <v>0</v>
      </c>
      <c r="V378" s="158">
        <v>0</v>
      </c>
      <c r="W378" s="158">
        <v>0</v>
      </c>
      <c r="X378" s="158">
        <v>0</v>
      </c>
      <c r="Y378" s="158">
        <v>0</v>
      </c>
      <c r="Z378" s="158">
        <v>0</v>
      </c>
      <c r="AA378" s="432">
        <v>0</v>
      </c>
      <c r="AB378" s="432">
        <v>0</v>
      </c>
      <c r="AC378" s="432">
        <v>0</v>
      </c>
      <c r="AD378" s="432">
        <v>0</v>
      </c>
      <c r="AE378" s="432">
        <v>0</v>
      </c>
      <c r="AF378" s="432">
        <v>0</v>
      </c>
      <c r="AG378" s="432">
        <v>0</v>
      </c>
      <c r="AH378" s="432">
        <v>0</v>
      </c>
      <c r="AI378" s="158">
        <v>216089</v>
      </c>
      <c r="AJ378" s="158">
        <v>0</v>
      </c>
      <c r="AK378" s="158">
        <v>216089</v>
      </c>
      <c r="AL378" s="158">
        <v>216089</v>
      </c>
      <c r="AM378" s="158">
        <v>1306800</v>
      </c>
      <c r="AN378" s="158">
        <v>216089</v>
      </c>
      <c r="AO378" s="158">
        <v>216089</v>
      </c>
      <c r="AP378" s="158">
        <v>216000</v>
      </c>
      <c r="AQ378" s="432">
        <v>0</v>
      </c>
      <c r="AR378" s="432">
        <v>0</v>
      </c>
      <c r="AS378" s="432">
        <v>0</v>
      </c>
      <c r="AT378" s="432">
        <v>0</v>
      </c>
      <c r="AU378" s="432">
        <v>0</v>
      </c>
      <c r="AV378" s="432">
        <v>0</v>
      </c>
      <c r="AW378" s="432">
        <v>0</v>
      </c>
      <c r="AX378" s="432">
        <v>0</v>
      </c>
      <c r="AY378" s="158">
        <v>0</v>
      </c>
      <c r="AZ378" s="158">
        <v>0</v>
      </c>
      <c r="BA378" s="158">
        <v>0</v>
      </c>
      <c r="BB378" s="158">
        <v>0</v>
      </c>
      <c r="BC378" s="158">
        <v>0</v>
      </c>
      <c r="BD378" s="158">
        <v>0</v>
      </c>
      <c r="BE378" s="158">
        <v>0</v>
      </c>
      <c r="BF378" s="160">
        <v>0</v>
      </c>
      <c r="BG378" s="383">
        <v>2023</v>
      </c>
      <c r="BH378" s="383">
        <v>1</v>
      </c>
      <c r="BI378" s="383">
        <v>19</v>
      </c>
      <c r="BK378" s="147" t="str">
        <f>IF(R378=SUM(Z378,AH378,AP378,AX378,BF378),"○","×")</f>
        <v>○</v>
      </c>
    </row>
    <row r="379" spans="1:63" x14ac:dyDescent="0.2">
      <c r="A379" s="428">
        <v>1575</v>
      </c>
      <c r="B379" s="429"/>
      <c r="C379" s="430"/>
      <c r="D379" s="429"/>
      <c r="E379" s="430"/>
      <c r="F379" s="429"/>
      <c r="G379" s="429"/>
      <c r="H379" s="430"/>
      <c r="I379" s="429"/>
      <c r="J379" s="429"/>
      <c r="K379" s="429"/>
      <c r="L379" s="383"/>
      <c r="M379" s="383" t="s">
        <v>724</v>
      </c>
      <c r="N379" s="383" t="s">
        <v>367</v>
      </c>
      <c r="O379" s="383" t="s">
        <v>391</v>
      </c>
      <c r="P379" s="383" t="s">
        <v>970</v>
      </c>
      <c r="Q379" s="383"/>
      <c r="R379" s="431">
        <v>1276000</v>
      </c>
      <c r="S379" s="158">
        <v>0</v>
      </c>
      <c r="T379" s="158">
        <v>0</v>
      </c>
      <c r="U379" s="158">
        <v>0</v>
      </c>
      <c r="V379" s="158">
        <v>0</v>
      </c>
      <c r="W379" s="158">
        <v>0</v>
      </c>
      <c r="X379" s="158">
        <v>0</v>
      </c>
      <c r="Y379" s="158">
        <v>0</v>
      </c>
      <c r="Z379" s="158">
        <v>0</v>
      </c>
      <c r="AA379" s="432">
        <v>0</v>
      </c>
      <c r="AB379" s="432">
        <v>0</v>
      </c>
      <c r="AC379" s="432">
        <v>0</v>
      </c>
      <c r="AD379" s="432">
        <v>0</v>
      </c>
      <c r="AE379" s="432">
        <v>0</v>
      </c>
      <c r="AF379" s="432">
        <v>0</v>
      </c>
      <c r="AG379" s="432">
        <v>0</v>
      </c>
      <c r="AH379" s="432">
        <v>0</v>
      </c>
      <c r="AI379" s="158">
        <v>1276566</v>
      </c>
      <c r="AJ379" s="158">
        <v>0</v>
      </c>
      <c r="AK379" s="158">
        <v>1276566</v>
      </c>
      <c r="AL379" s="158">
        <v>1276566</v>
      </c>
      <c r="AM379" s="158">
        <v>1317600</v>
      </c>
      <c r="AN379" s="158">
        <v>1276566</v>
      </c>
      <c r="AO379" s="158">
        <v>1276566</v>
      </c>
      <c r="AP379" s="158">
        <v>1276000</v>
      </c>
      <c r="AQ379" s="432">
        <v>0</v>
      </c>
      <c r="AR379" s="432">
        <v>0</v>
      </c>
      <c r="AS379" s="432">
        <v>0</v>
      </c>
      <c r="AT379" s="432">
        <v>0</v>
      </c>
      <c r="AU379" s="432">
        <v>0</v>
      </c>
      <c r="AV379" s="432">
        <v>0</v>
      </c>
      <c r="AW379" s="432">
        <v>0</v>
      </c>
      <c r="AX379" s="432">
        <v>0</v>
      </c>
      <c r="AY379" s="158">
        <v>0</v>
      </c>
      <c r="AZ379" s="158">
        <v>0</v>
      </c>
      <c r="BA379" s="158">
        <v>0</v>
      </c>
      <c r="BB379" s="158">
        <v>0</v>
      </c>
      <c r="BC379" s="158">
        <v>0</v>
      </c>
      <c r="BD379" s="158">
        <v>0</v>
      </c>
      <c r="BE379" s="158">
        <v>0</v>
      </c>
      <c r="BF379" s="160">
        <v>0</v>
      </c>
      <c r="BG379" s="383">
        <v>2023</v>
      </c>
      <c r="BH379" s="383">
        <v>1</v>
      </c>
      <c r="BI379" s="383">
        <v>19</v>
      </c>
      <c r="BK379" s="147" t="str">
        <f>IF(R379=SUM(Z379,AH379,AP379,AX379,BF379),"○","×")</f>
        <v>○</v>
      </c>
    </row>
    <row r="380" spans="1:63" x14ac:dyDescent="0.2">
      <c r="A380" s="428">
        <v>1576</v>
      </c>
      <c r="B380" s="429"/>
      <c r="C380" s="430"/>
      <c r="D380" s="429"/>
      <c r="E380" s="430"/>
      <c r="F380" s="429"/>
      <c r="G380" s="429"/>
      <c r="H380" s="430"/>
      <c r="I380" s="429"/>
      <c r="J380" s="429"/>
      <c r="K380" s="429"/>
      <c r="L380" s="383"/>
      <c r="M380" s="383" t="s">
        <v>805</v>
      </c>
      <c r="N380" s="383" t="s">
        <v>335</v>
      </c>
      <c r="O380" s="383" t="s">
        <v>378</v>
      </c>
      <c r="P380" s="383" t="s">
        <v>970</v>
      </c>
      <c r="Q380" s="383"/>
      <c r="R380" s="431">
        <v>1300000</v>
      </c>
      <c r="S380" s="158">
        <v>0</v>
      </c>
      <c r="T380" s="158">
        <v>0</v>
      </c>
      <c r="U380" s="158">
        <v>0</v>
      </c>
      <c r="V380" s="158">
        <v>0</v>
      </c>
      <c r="W380" s="158">
        <v>0</v>
      </c>
      <c r="X380" s="158">
        <v>0</v>
      </c>
      <c r="Y380" s="158">
        <v>0</v>
      </c>
      <c r="Z380" s="158">
        <v>0</v>
      </c>
      <c r="AA380" s="432">
        <v>0</v>
      </c>
      <c r="AB380" s="432">
        <v>0</v>
      </c>
      <c r="AC380" s="432">
        <v>0</v>
      </c>
      <c r="AD380" s="432">
        <v>0</v>
      </c>
      <c r="AE380" s="432">
        <v>0</v>
      </c>
      <c r="AF380" s="432">
        <v>0</v>
      </c>
      <c r="AG380" s="432">
        <v>0</v>
      </c>
      <c r="AH380" s="432">
        <v>0</v>
      </c>
      <c r="AI380" s="158">
        <v>1300532</v>
      </c>
      <c r="AJ380" s="158">
        <v>0</v>
      </c>
      <c r="AK380" s="158">
        <v>1300532</v>
      </c>
      <c r="AL380" s="158">
        <v>1300532</v>
      </c>
      <c r="AM380" s="158">
        <v>1576800</v>
      </c>
      <c r="AN380" s="158">
        <v>1300532</v>
      </c>
      <c r="AO380" s="158">
        <v>1300532</v>
      </c>
      <c r="AP380" s="158">
        <v>1300000</v>
      </c>
      <c r="AQ380" s="432">
        <v>0</v>
      </c>
      <c r="AR380" s="432">
        <v>0</v>
      </c>
      <c r="AS380" s="432">
        <v>0</v>
      </c>
      <c r="AT380" s="432">
        <v>0</v>
      </c>
      <c r="AU380" s="432">
        <v>0</v>
      </c>
      <c r="AV380" s="432">
        <v>0</v>
      </c>
      <c r="AW380" s="432">
        <v>0</v>
      </c>
      <c r="AX380" s="432">
        <v>0</v>
      </c>
      <c r="AY380" s="158">
        <v>0</v>
      </c>
      <c r="AZ380" s="158">
        <v>0</v>
      </c>
      <c r="BA380" s="158">
        <v>0</v>
      </c>
      <c r="BB380" s="158">
        <v>0</v>
      </c>
      <c r="BC380" s="158">
        <v>0</v>
      </c>
      <c r="BD380" s="158">
        <v>0</v>
      </c>
      <c r="BE380" s="158">
        <v>0</v>
      </c>
      <c r="BF380" s="160">
        <v>0</v>
      </c>
      <c r="BG380" s="383">
        <v>2023</v>
      </c>
      <c r="BH380" s="383">
        <v>1</v>
      </c>
      <c r="BI380" s="383">
        <v>19</v>
      </c>
      <c r="BK380" s="147" t="str">
        <f>IF(R380=SUM(Z380,AH380,AP380,AX380,BF380),"○","×")</f>
        <v>○</v>
      </c>
    </row>
    <row r="381" spans="1:63" x14ac:dyDescent="0.2">
      <c r="A381" s="428">
        <v>1577</v>
      </c>
      <c r="B381" s="429"/>
      <c r="C381" s="430"/>
      <c r="D381" s="429"/>
      <c r="E381" s="430"/>
      <c r="F381" s="429"/>
      <c r="G381" s="429"/>
      <c r="H381" s="430"/>
      <c r="I381" s="429"/>
      <c r="J381" s="429"/>
      <c r="K381" s="429"/>
      <c r="L381" s="383"/>
      <c r="M381" s="383" t="s">
        <v>805</v>
      </c>
      <c r="N381" s="383" t="s">
        <v>335</v>
      </c>
      <c r="O381" s="383" t="s">
        <v>378</v>
      </c>
      <c r="P381" s="383" t="s">
        <v>970</v>
      </c>
      <c r="Q381" s="383"/>
      <c r="R381" s="431">
        <v>872000</v>
      </c>
      <c r="S381" s="158">
        <v>0</v>
      </c>
      <c r="T381" s="158">
        <v>0</v>
      </c>
      <c r="U381" s="158">
        <v>0</v>
      </c>
      <c r="V381" s="158">
        <v>0</v>
      </c>
      <c r="W381" s="158">
        <v>0</v>
      </c>
      <c r="X381" s="158">
        <v>0</v>
      </c>
      <c r="Y381" s="158">
        <v>0</v>
      </c>
      <c r="Z381" s="158">
        <v>0</v>
      </c>
      <c r="AA381" s="432">
        <v>0</v>
      </c>
      <c r="AB381" s="432">
        <v>0</v>
      </c>
      <c r="AC381" s="432">
        <v>0</v>
      </c>
      <c r="AD381" s="432">
        <v>0</v>
      </c>
      <c r="AE381" s="432">
        <v>0</v>
      </c>
      <c r="AF381" s="432">
        <v>0</v>
      </c>
      <c r="AG381" s="432">
        <v>0</v>
      </c>
      <c r="AH381" s="432">
        <v>0</v>
      </c>
      <c r="AI381" s="158">
        <v>872878</v>
      </c>
      <c r="AJ381" s="158">
        <v>0</v>
      </c>
      <c r="AK381" s="158">
        <v>872878</v>
      </c>
      <c r="AL381" s="158">
        <v>872878</v>
      </c>
      <c r="AM381" s="158">
        <v>1576800</v>
      </c>
      <c r="AN381" s="158">
        <v>872878</v>
      </c>
      <c r="AO381" s="158">
        <v>872878</v>
      </c>
      <c r="AP381" s="158">
        <v>872000</v>
      </c>
      <c r="AQ381" s="432">
        <v>0</v>
      </c>
      <c r="AR381" s="432">
        <v>0</v>
      </c>
      <c r="AS381" s="432">
        <v>0</v>
      </c>
      <c r="AT381" s="432">
        <v>0</v>
      </c>
      <c r="AU381" s="432">
        <v>0</v>
      </c>
      <c r="AV381" s="432">
        <v>0</v>
      </c>
      <c r="AW381" s="432">
        <v>0</v>
      </c>
      <c r="AX381" s="432">
        <v>0</v>
      </c>
      <c r="AY381" s="158">
        <v>0</v>
      </c>
      <c r="AZ381" s="158">
        <v>0</v>
      </c>
      <c r="BA381" s="158">
        <v>0</v>
      </c>
      <c r="BB381" s="158">
        <v>0</v>
      </c>
      <c r="BC381" s="158">
        <v>0</v>
      </c>
      <c r="BD381" s="158">
        <v>0</v>
      </c>
      <c r="BE381" s="158">
        <v>0</v>
      </c>
      <c r="BF381" s="160">
        <v>0</v>
      </c>
      <c r="BG381" s="383">
        <v>2023</v>
      </c>
      <c r="BH381" s="383">
        <v>1</v>
      </c>
      <c r="BI381" s="383">
        <v>19</v>
      </c>
      <c r="BK381" s="147" t="str">
        <f>IF(R381=SUM(Z381,AH381,AP381,AX381,BF381),"○","×")</f>
        <v>○</v>
      </c>
    </row>
    <row r="382" spans="1:63" x14ac:dyDescent="0.2">
      <c r="A382" s="428">
        <v>1578</v>
      </c>
      <c r="B382" s="429"/>
      <c r="C382" s="430"/>
      <c r="D382" s="429"/>
      <c r="E382" s="430"/>
      <c r="F382" s="429"/>
      <c r="G382" s="429"/>
      <c r="H382" s="430"/>
      <c r="I382" s="429"/>
      <c r="J382" s="429"/>
      <c r="K382" s="429"/>
      <c r="L382" s="383"/>
      <c r="M382" s="383" t="s">
        <v>808</v>
      </c>
      <c r="N382" s="383" t="s">
        <v>356</v>
      </c>
      <c r="O382" s="383" t="s">
        <v>559</v>
      </c>
      <c r="P382" s="383" t="s">
        <v>970</v>
      </c>
      <c r="Q382" s="146"/>
      <c r="R382" s="431">
        <v>56000</v>
      </c>
      <c r="S382" s="158">
        <v>0</v>
      </c>
      <c r="T382" s="158">
        <v>0</v>
      </c>
      <c r="U382" s="158">
        <v>0</v>
      </c>
      <c r="V382" s="158">
        <v>0</v>
      </c>
      <c r="W382" s="158">
        <v>0</v>
      </c>
      <c r="X382" s="158">
        <v>0</v>
      </c>
      <c r="Y382" s="158">
        <v>0</v>
      </c>
      <c r="Z382" s="158">
        <v>0</v>
      </c>
      <c r="AA382" s="432">
        <v>0</v>
      </c>
      <c r="AB382" s="432">
        <v>0</v>
      </c>
      <c r="AC382" s="432">
        <v>0</v>
      </c>
      <c r="AD382" s="432">
        <v>0</v>
      </c>
      <c r="AE382" s="432">
        <v>0</v>
      </c>
      <c r="AF382" s="432">
        <v>0</v>
      </c>
      <c r="AG382" s="432">
        <v>0</v>
      </c>
      <c r="AH382" s="432">
        <v>0</v>
      </c>
      <c r="AI382" s="158">
        <v>56155</v>
      </c>
      <c r="AJ382" s="158">
        <v>0</v>
      </c>
      <c r="AK382" s="158">
        <v>56155</v>
      </c>
      <c r="AL382" s="158">
        <v>56155</v>
      </c>
      <c r="AM382" s="158">
        <v>3132000</v>
      </c>
      <c r="AN382" s="158">
        <v>56155</v>
      </c>
      <c r="AO382" s="158">
        <v>56155</v>
      </c>
      <c r="AP382" s="158">
        <v>56000</v>
      </c>
      <c r="AQ382" s="432">
        <v>0</v>
      </c>
      <c r="AR382" s="432">
        <v>0</v>
      </c>
      <c r="AS382" s="432">
        <v>0</v>
      </c>
      <c r="AT382" s="432">
        <v>0</v>
      </c>
      <c r="AU382" s="432">
        <v>0</v>
      </c>
      <c r="AV382" s="432">
        <v>0</v>
      </c>
      <c r="AW382" s="432">
        <v>0</v>
      </c>
      <c r="AX382" s="432">
        <v>0</v>
      </c>
      <c r="AY382" s="158">
        <v>0</v>
      </c>
      <c r="AZ382" s="158">
        <v>0</v>
      </c>
      <c r="BA382" s="158">
        <v>0</v>
      </c>
      <c r="BB382" s="158">
        <v>0</v>
      </c>
      <c r="BC382" s="158">
        <v>0</v>
      </c>
      <c r="BD382" s="158">
        <v>0</v>
      </c>
      <c r="BE382" s="158">
        <v>0</v>
      </c>
      <c r="BF382" s="160">
        <v>0</v>
      </c>
      <c r="BG382" s="383">
        <v>2023</v>
      </c>
      <c r="BH382" s="383">
        <v>1</v>
      </c>
      <c r="BI382" s="383">
        <v>19</v>
      </c>
      <c r="BK382" s="147" t="str">
        <f>IF(R382=SUM(Z382,AH382,AP382,AX382,BF382),"○","×")</f>
        <v>○</v>
      </c>
    </row>
    <row r="383" spans="1:63" x14ac:dyDescent="0.2">
      <c r="A383" s="428">
        <v>1579</v>
      </c>
      <c r="B383" s="429"/>
      <c r="C383" s="430"/>
      <c r="D383" s="429"/>
      <c r="E383" s="430"/>
      <c r="F383" s="429"/>
      <c r="G383" s="429"/>
      <c r="H383" s="430"/>
      <c r="I383" s="429"/>
      <c r="J383" s="429"/>
      <c r="K383" s="429"/>
      <c r="L383" s="383"/>
      <c r="M383" s="383" t="s">
        <v>809</v>
      </c>
      <c r="N383" s="383" t="s">
        <v>335</v>
      </c>
      <c r="O383" s="383" t="s">
        <v>773</v>
      </c>
      <c r="P383" s="383" t="s">
        <v>970</v>
      </c>
      <c r="Q383" s="383"/>
      <c r="R383" s="431">
        <v>141000</v>
      </c>
      <c r="S383" s="158">
        <v>0</v>
      </c>
      <c r="T383" s="158">
        <v>0</v>
      </c>
      <c r="U383" s="158">
        <v>0</v>
      </c>
      <c r="V383" s="158">
        <v>0</v>
      </c>
      <c r="W383" s="158">
        <v>0</v>
      </c>
      <c r="X383" s="158">
        <v>0</v>
      </c>
      <c r="Y383" s="158">
        <v>0</v>
      </c>
      <c r="Z383" s="158">
        <v>0</v>
      </c>
      <c r="AA383" s="432">
        <v>0</v>
      </c>
      <c r="AB383" s="432">
        <v>0</v>
      </c>
      <c r="AC383" s="432">
        <v>0</v>
      </c>
      <c r="AD383" s="432">
        <v>0</v>
      </c>
      <c r="AE383" s="432">
        <v>0</v>
      </c>
      <c r="AF383" s="432">
        <v>0</v>
      </c>
      <c r="AG383" s="432">
        <v>0</v>
      </c>
      <c r="AH383" s="432">
        <v>0</v>
      </c>
      <c r="AI383" s="158">
        <v>141660</v>
      </c>
      <c r="AJ383" s="158">
        <v>0</v>
      </c>
      <c r="AK383" s="158">
        <v>141660</v>
      </c>
      <c r="AL383" s="158">
        <v>141660</v>
      </c>
      <c r="AM383" s="158">
        <v>1036800</v>
      </c>
      <c r="AN383" s="158">
        <v>141660</v>
      </c>
      <c r="AO383" s="158">
        <v>141660</v>
      </c>
      <c r="AP383" s="158">
        <v>141000</v>
      </c>
      <c r="AQ383" s="432">
        <v>0</v>
      </c>
      <c r="AR383" s="432">
        <v>0</v>
      </c>
      <c r="AS383" s="432">
        <v>0</v>
      </c>
      <c r="AT383" s="432">
        <v>0</v>
      </c>
      <c r="AU383" s="432">
        <v>0</v>
      </c>
      <c r="AV383" s="432">
        <v>0</v>
      </c>
      <c r="AW383" s="432">
        <v>0</v>
      </c>
      <c r="AX383" s="432">
        <v>0</v>
      </c>
      <c r="AY383" s="158">
        <v>0</v>
      </c>
      <c r="AZ383" s="158">
        <v>0</v>
      </c>
      <c r="BA383" s="158">
        <v>0</v>
      </c>
      <c r="BB383" s="158">
        <v>0</v>
      </c>
      <c r="BC383" s="158">
        <v>0</v>
      </c>
      <c r="BD383" s="158">
        <v>0</v>
      </c>
      <c r="BE383" s="158">
        <v>0</v>
      </c>
      <c r="BF383" s="160">
        <v>0</v>
      </c>
      <c r="BG383" s="383">
        <v>2023</v>
      </c>
      <c r="BH383" s="383">
        <v>1</v>
      </c>
      <c r="BI383" s="383">
        <v>19</v>
      </c>
      <c r="BK383" s="147" t="str">
        <f>IF(R383=SUM(Z383,AH383,AP383,AX383,BF383),"○","×")</f>
        <v>○</v>
      </c>
    </row>
    <row r="384" spans="1:63" x14ac:dyDescent="0.2">
      <c r="A384" s="428">
        <v>1580</v>
      </c>
      <c r="B384" s="429"/>
      <c r="C384" s="430"/>
      <c r="D384" s="429"/>
      <c r="E384" s="430"/>
      <c r="F384" s="429"/>
      <c r="G384" s="429"/>
      <c r="H384" s="430"/>
      <c r="I384" s="429"/>
      <c r="J384" s="429"/>
      <c r="K384" s="429"/>
      <c r="L384" s="383"/>
      <c r="M384" s="383" t="s">
        <v>810</v>
      </c>
      <c r="N384" s="383" t="s">
        <v>356</v>
      </c>
      <c r="O384" s="383" t="s">
        <v>791</v>
      </c>
      <c r="P384" s="383" t="s">
        <v>970</v>
      </c>
      <c r="Q384" s="383"/>
      <c r="R384" s="431">
        <v>660000</v>
      </c>
      <c r="S384" s="158">
        <v>0</v>
      </c>
      <c r="T384" s="158">
        <v>0</v>
      </c>
      <c r="U384" s="158">
        <v>0</v>
      </c>
      <c r="V384" s="158">
        <v>0</v>
      </c>
      <c r="W384" s="158">
        <v>0</v>
      </c>
      <c r="X384" s="158">
        <v>0</v>
      </c>
      <c r="Y384" s="158">
        <v>0</v>
      </c>
      <c r="Z384" s="158">
        <v>0</v>
      </c>
      <c r="AA384" s="432">
        <v>0</v>
      </c>
      <c r="AB384" s="432">
        <v>0</v>
      </c>
      <c r="AC384" s="432">
        <v>0</v>
      </c>
      <c r="AD384" s="432">
        <v>0</v>
      </c>
      <c r="AE384" s="432">
        <v>0</v>
      </c>
      <c r="AF384" s="432">
        <v>0</v>
      </c>
      <c r="AG384" s="432">
        <v>0</v>
      </c>
      <c r="AH384" s="432">
        <v>0</v>
      </c>
      <c r="AI384" s="158">
        <v>660975</v>
      </c>
      <c r="AJ384" s="158">
        <v>0</v>
      </c>
      <c r="AK384" s="158">
        <v>660975</v>
      </c>
      <c r="AL384" s="158">
        <v>660975</v>
      </c>
      <c r="AM384" s="158">
        <v>1094400</v>
      </c>
      <c r="AN384" s="158">
        <v>660975</v>
      </c>
      <c r="AO384" s="158">
        <v>660975</v>
      </c>
      <c r="AP384" s="158">
        <v>660000</v>
      </c>
      <c r="AQ384" s="432">
        <v>0</v>
      </c>
      <c r="AR384" s="432">
        <v>0</v>
      </c>
      <c r="AS384" s="432">
        <v>0</v>
      </c>
      <c r="AT384" s="432">
        <v>0</v>
      </c>
      <c r="AU384" s="432">
        <v>0</v>
      </c>
      <c r="AV384" s="432">
        <v>0</v>
      </c>
      <c r="AW384" s="432">
        <v>0</v>
      </c>
      <c r="AX384" s="432">
        <v>0</v>
      </c>
      <c r="AY384" s="158">
        <v>0</v>
      </c>
      <c r="AZ384" s="158">
        <v>0</v>
      </c>
      <c r="BA384" s="158">
        <v>0</v>
      </c>
      <c r="BB384" s="158">
        <v>0</v>
      </c>
      <c r="BC384" s="158">
        <v>0</v>
      </c>
      <c r="BD384" s="158">
        <v>0</v>
      </c>
      <c r="BE384" s="158">
        <v>0</v>
      </c>
      <c r="BF384" s="160">
        <v>0</v>
      </c>
      <c r="BG384" s="383">
        <v>2023</v>
      </c>
      <c r="BH384" s="383">
        <v>1</v>
      </c>
      <c r="BI384" s="383">
        <v>19</v>
      </c>
      <c r="BK384" s="147" t="str">
        <f>IF(R384=SUM(Z384,AH384,AP384,AX384,BF384),"○","×")</f>
        <v>○</v>
      </c>
    </row>
    <row r="385" spans="1:63" x14ac:dyDescent="0.2">
      <c r="A385" s="428">
        <v>1581</v>
      </c>
      <c r="B385" s="429"/>
      <c r="C385" s="430"/>
      <c r="D385" s="429"/>
      <c r="E385" s="430"/>
      <c r="F385" s="429"/>
      <c r="G385" s="429"/>
      <c r="H385" s="430"/>
      <c r="I385" s="429"/>
      <c r="J385" s="429"/>
      <c r="K385" s="429"/>
      <c r="L385" s="383"/>
      <c r="M385" s="383" t="s">
        <v>811</v>
      </c>
      <c r="N385" s="383" t="s">
        <v>372</v>
      </c>
      <c r="O385" s="383" t="s">
        <v>812</v>
      </c>
      <c r="P385" s="383" t="s">
        <v>970</v>
      </c>
      <c r="Q385" s="383"/>
      <c r="R385" s="431">
        <v>1253000</v>
      </c>
      <c r="S385" s="158">
        <v>0</v>
      </c>
      <c r="T385" s="158">
        <v>0</v>
      </c>
      <c r="U385" s="158">
        <v>0</v>
      </c>
      <c r="V385" s="158">
        <v>0</v>
      </c>
      <c r="W385" s="158">
        <v>0</v>
      </c>
      <c r="X385" s="158">
        <v>0</v>
      </c>
      <c r="Y385" s="158">
        <v>0</v>
      </c>
      <c r="Z385" s="158">
        <v>0</v>
      </c>
      <c r="AA385" s="432">
        <v>0</v>
      </c>
      <c r="AB385" s="432">
        <v>0</v>
      </c>
      <c r="AC385" s="432">
        <v>0</v>
      </c>
      <c r="AD385" s="432">
        <v>0</v>
      </c>
      <c r="AE385" s="432">
        <v>0</v>
      </c>
      <c r="AF385" s="432">
        <v>0</v>
      </c>
      <c r="AG385" s="432">
        <v>0</v>
      </c>
      <c r="AH385" s="432">
        <v>0</v>
      </c>
      <c r="AI385" s="158">
        <v>1253000</v>
      </c>
      <c r="AJ385" s="158">
        <v>0</v>
      </c>
      <c r="AK385" s="158">
        <v>1253000</v>
      </c>
      <c r="AL385" s="158">
        <v>1253000</v>
      </c>
      <c r="AM385" s="158">
        <v>2073600</v>
      </c>
      <c r="AN385" s="158">
        <v>1253000</v>
      </c>
      <c r="AO385" s="158">
        <v>1253000</v>
      </c>
      <c r="AP385" s="158">
        <v>1253000</v>
      </c>
      <c r="AQ385" s="432">
        <v>0</v>
      </c>
      <c r="AR385" s="432">
        <v>0</v>
      </c>
      <c r="AS385" s="432">
        <v>0</v>
      </c>
      <c r="AT385" s="432">
        <v>0</v>
      </c>
      <c r="AU385" s="432">
        <v>0</v>
      </c>
      <c r="AV385" s="432">
        <v>0</v>
      </c>
      <c r="AW385" s="432">
        <v>0</v>
      </c>
      <c r="AX385" s="432">
        <v>0</v>
      </c>
      <c r="AY385" s="158">
        <v>0</v>
      </c>
      <c r="AZ385" s="158">
        <v>0</v>
      </c>
      <c r="BA385" s="158">
        <v>0</v>
      </c>
      <c r="BB385" s="158">
        <v>0</v>
      </c>
      <c r="BC385" s="158">
        <v>0</v>
      </c>
      <c r="BD385" s="158">
        <v>0</v>
      </c>
      <c r="BE385" s="158">
        <v>0</v>
      </c>
      <c r="BF385" s="160">
        <v>0</v>
      </c>
      <c r="BG385" s="383">
        <v>2023</v>
      </c>
      <c r="BH385" s="383">
        <v>1</v>
      </c>
      <c r="BI385" s="383">
        <v>19</v>
      </c>
      <c r="BK385" s="147" t="str">
        <f>IF(R385=SUM(Z385,AH385,AP385,AX385,BF385),"○","×")</f>
        <v>○</v>
      </c>
    </row>
    <row r="386" spans="1:63" x14ac:dyDescent="0.2">
      <c r="A386" s="428">
        <v>1582</v>
      </c>
      <c r="B386" s="429"/>
      <c r="C386" s="430"/>
      <c r="D386" s="429"/>
      <c r="E386" s="430"/>
      <c r="F386" s="429"/>
      <c r="G386" s="429"/>
      <c r="H386" s="430"/>
      <c r="I386" s="429"/>
      <c r="J386" s="429"/>
      <c r="K386" s="429"/>
      <c r="L386" s="383"/>
      <c r="M386" s="383" t="s">
        <v>813</v>
      </c>
      <c r="N386" s="383" t="s">
        <v>547</v>
      </c>
      <c r="O386" s="383" t="s">
        <v>814</v>
      </c>
      <c r="P386" s="383" t="s">
        <v>970</v>
      </c>
      <c r="Q386" s="383"/>
      <c r="R386" s="431">
        <v>112000</v>
      </c>
      <c r="S386" s="158">
        <v>0</v>
      </c>
      <c r="T386" s="158">
        <v>0</v>
      </c>
      <c r="U386" s="158">
        <v>0</v>
      </c>
      <c r="V386" s="158">
        <v>0</v>
      </c>
      <c r="W386" s="158">
        <v>0</v>
      </c>
      <c r="X386" s="158">
        <v>0</v>
      </c>
      <c r="Y386" s="158">
        <v>0</v>
      </c>
      <c r="Z386" s="158">
        <v>0</v>
      </c>
      <c r="AA386" s="432">
        <v>0</v>
      </c>
      <c r="AB386" s="432">
        <v>0</v>
      </c>
      <c r="AC386" s="432">
        <v>0</v>
      </c>
      <c r="AD386" s="432">
        <v>0</v>
      </c>
      <c r="AE386" s="432">
        <v>0</v>
      </c>
      <c r="AF386" s="432">
        <v>0</v>
      </c>
      <c r="AG386" s="432">
        <v>0</v>
      </c>
      <c r="AH386" s="432">
        <v>0</v>
      </c>
      <c r="AI386" s="158">
        <v>112970</v>
      </c>
      <c r="AJ386" s="158">
        <v>0</v>
      </c>
      <c r="AK386" s="158">
        <v>112970</v>
      </c>
      <c r="AL386" s="158">
        <v>112970</v>
      </c>
      <c r="AM386" s="158">
        <v>2721600</v>
      </c>
      <c r="AN386" s="158">
        <v>112970</v>
      </c>
      <c r="AO386" s="158">
        <v>112970</v>
      </c>
      <c r="AP386" s="158">
        <v>112000</v>
      </c>
      <c r="AQ386" s="432">
        <v>0</v>
      </c>
      <c r="AR386" s="432">
        <v>0</v>
      </c>
      <c r="AS386" s="432">
        <v>0</v>
      </c>
      <c r="AT386" s="432">
        <v>0</v>
      </c>
      <c r="AU386" s="432">
        <v>0</v>
      </c>
      <c r="AV386" s="432">
        <v>0</v>
      </c>
      <c r="AW386" s="432">
        <v>0</v>
      </c>
      <c r="AX386" s="432">
        <v>0</v>
      </c>
      <c r="AY386" s="158">
        <v>0</v>
      </c>
      <c r="AZ386" s="158">
        <v>0</v>
      </c>
      <c r="BA386" s="158">
        <v>0</v>
      </c>
      <c r="BB386" s="158">
        <v>0</v>
      </c>
      <c r="BC386" s="158">
        <v>0</v>
      </c>
      <c r="BD386" s="158">
        <v>0</v>
      </c>
      <c r="BE386" s="158">
        <v>0</v>
      </c>
      <c r="BF386" s="160">
        <v>0</v>
      </c>
      <c r="BG386" s="383">
        <v>2023</v>
      </c>
      <c r="BH386" s="383">
        <v>1</v>
      </c>
      <c r="BI386" s="383">
        <v>19</v>
      </c>
      <c r="BK386" s="147" t="str">
        <f>IF(R386=SUM(Z386,AH386,AP386,AX386,BF386),"○","×")</f>
        <v>○</v>
      </c>
    </row>
    <row r="387" spans="1:63" x14ac:dyDescent="0.2">
      <c r="A387" s="428">
        <v>1583</v>
      </c>
      <c r="B387" s="429"/>
      <c r="C387" s="430"/>
      <c r="D387" s="429"/>
      <c r="E387" s="430"/>
      <c r="F387" s="429"/>
      <c r="G387" s="429"/>
      <c r="H387" s="430"/>
      <c r="I387" s="429"/>
      <c r="J387" s="429"/>
      <c r="K387" s="429"/>
      <c r="L387" s="383"/>
      <c r="M387" s="383" t="s">
        <v>541</v>
      </c>
      <c r="N387" s="383" t="s">
        <v>408</v>
      </c>
      <c r="O387" s="383" t="s">
        <v>375</v>
      </c>
      <c r="P387" s="383" t="s">
        <v>970</v>
      </c>
      <c r="Q387" s="383"/>
      <c r="R387" s="431">
        <v>673000</v>
      </c>
      <c r="S387" s="158">
        <v>0</v>
      </c>
      <c r="T387" s="158">
        <v>0</v>
      </c>
      <c r="U387" s="158">
        <v>0</v>
      </c>
      <c r="V387" s="158">
        <v>0</v>
      </c>
      <c r="W387" s="158">
        <v>0</v>
      </c>
      <c r="X387" s="158">
        <v>0</v>
      </c>
      <c r="Y387" s="158">
        <v>0</v>
      </c>
      <c r="Z387" s="158">
        <v>0</v>
      </c>
      <c r="AA387" s="432">
        <v>0</v>
      </c>
      <c r="AB387" s="432">
        <v>0</v>
      </c>
      <c r="AC387" s="432">
        <v>0</v>
      </c>
      <c r="AD387" s="432">
        <v>0</v>
      </c>
      <c r="AE387" s="432">
        <v>0</v>
      </c>
      <c r="AF387" s="432">
        <v>0</v>
      </c>
      <c r="AG387" s="432">
        <v>0</v>
      </c>
      <c r="AH387" s="432">
        <v>0</v>
      </c>
      <c r="AI387" s="158">
        <v>673720</v>
      </c>
      <c r="AJ387" s="158">
        <v>0</v>
      </c>
      <c r="AK387" s="158">
        <v>673720</v>
      </c>
      <c r="AL387" s="158">
        <v>673720</v>
      </c>
      <c r="AM387" s="158">
        <v>856800</v>
      </c>
      <c r="AN387" s="158">
        <v>673720</v>
      </c>
      <c r="AO387" s="158">
        <v>673720</v>
      </c>
      <c r="AP387" s="158">
        <v>673000</v>
      </c>
      <c r="AQ387" s="432">
        <v>0</v>
      </c>
      <c r="AR387" s="432">
        <v>0</v>
      </c>
      <c r="AS387" s="432">
        <v>0</v>
      </c>
      <c r="AT387" s="432">
        <v>0</v>
      </c>
      <c r="AU387" s="432">
        <v>0</v>
      </c>
      <c r="AV387" s="432">
        <v>0</v>
      </c>
      <c r="AW387" s="432">
        <v>0</v>
      </c>
      <c r="AX387" s="432">
        <v>0</v>
      </c>
      <c r="AY387" s="158">
        <v>0</v>
      </c>
      <c r="AZ387" s="158">
        <v>0</v>
      </c>
      <c r="BA387" s="158">
        <v>0</v>
      </c>
      <c r="BB387" s="158">
        <v>0</v>
      </c>
      <c r="BC387" s="158">
        <v>0</v>
      </c>
      <c r="BD387" s="158">
        <v>0</v>
      </c>
      <c r="BE387" s="158">
        <v>0</v>
      </c>
      <c r="BF387" s="160">
        <v>0</v>
      </c>
      <c r="BG387" s="383">
        <v>2023</v>
      </c>
      <c r="BH387" s="383">
        <v>1</v>
      </c>
      <c r="BI387" s="383">
        <v>19</v>
      </c>
      <c r="BK387" s="147" t="str">
        <f>IF(R387=SUM(Z387,AH387,AP387,AX387,BF387),"○","×")</f>
        <v>○</v>
      </c>
    </row>
    <row r="388" spans="1:63" x14ac:dyDescent="0.2">
      <c r="A388" s="428">
        <v>1584</v>
      </c>
      <c r="B388" s="429"/>
      <c r="C388" s="430"/>
      <c r="D388" s="429"/>
      <c r="E388" s="430"/>
      <c r="F388" s="429"/>
      <c r="G388" s="429"/>
      <c r="H388" s="430"/>
      <c r="I388" s="429"/>
      <c r="J388" s="429"/>
      <c r="K388" s="429"/>
      <c r="L388" s="383"/>
      <c r="M388" s="383" t="s">
        <v>461</v>
      </c>
      <c r="N388" s="383" t="s">
        <v>323</v>
      </c>
      <c r="O388" s="383" t="s">
        <v>462</v>
      </c>
      <c r="P388" s="383" t="s">
        <v>970</v>
      </c>
      <c r="Q388" s="383"/>
      <c r="R388" s="431">
        <v>528000</v>
      </c>
      <c r="S388" s="158">
        <v>0</v>
      </c>
      <c r="T388" s="158">
        <v>0</v>
      </c>
      <c r="U388" s="158">
        <v>0</v>
      </c>
      <c r="V388" s="158">
        <v>0</v>
      </c>
      <c r="W388" s="158">
        <v>0</v>
      </c>
      <c r="X388" s="158">
        <v>0</v>
      </c>
      <c r="Y388" s="158">
        <v>0</v>
      </c>
      <c r="Z388" s="158">
        <v>0</v>
      </c>
      <c r="AA388" s="432">
        <v>0</v>
      </c>
      <c r="AB388" s="432">
        <v>0</v>
      </c>
      <c r="AC388" s="432">
        <v>0</v>
      </c>
      <c r="AD388" s="432">
        <v>0</v>
      </c>
      <c r="AE388" s="432">
        <v>0</v>
      </c>
      <c r="AF388" s="432">
        <v>0</v>
      </c>
      <c r="AG388" s="432">
        <v>0</v>
      </c>
      <c r="AH388" s="432">
        <v>0</v>
      </c>
      <c r="AI388" s="158">
        <v>528790</v>
      </c>
      <c r="AJ388" s="158">
        <v>0</v>
      </c>
      <c r="AK388" s="158">
        <v>528790</v>
      </c>
      <c r="AL388" s="158">
        <v>528790</v>
      </c>
      <c r="AM388" s="158">
        <v>2592000</v>
      </c>
      <c r="AN388" s="158">
        <v>528790</v>
      </c>
      <c r="AO388" s="158">
        <v>528790</v>
      </c>
      <c r="AP388" s="158">
        <v>528000</v>
      </c>
      <c r="AQ388" s="432">
        <v>0</v>
      </c>
      <c r="AR388" s="432">
        <v>0</v>
      </c>
      <c r="AS388" s="432">
        <v>0</v>
      </c>
      <c r="AT388" s="432">
        <v>0</v>
      </c>
      <c r="AU388" s="432">
        <v>0</v>
      </c>
      <c r="AV388" s="432">
        <v>0</v>
      </c>
      <c r="AW388" s="432">
        <v>0</v>
      </c>
      <c r="AX388" s="432">
        <v>0</v>
      </c>
      <c r="AY388" s="158">
        <v>0</v>
      </c>
      <c r="AZ388" s="158">
        <v>0</v>
      </c>
      <c r="BA388" s="158">
        <v>0</v>
      </c>
      <c r="BB388" s="158">
        <v>0</v>
      </c>
      <c r="BC388" s="158">
        <v>0</v>
      </c>
      <c r="BD388" s="158">
        <v>0</v>
      </c>
      <c r="BE388" s="158">
        <v>0</v>
      </c>
      <c r="BF388" s="160">
        <v>0</v>
      </c>
      <c r="BG388" s="383">
        <v>2023</v>
      </c>
      <c r="BH388" s="383">
        <v>1</v>
      </c>
      <c r="BI388" s="383">
        <v>19</v>
      </c>
      <c r="BK388" s="147" t="str">
        <f>IF(R388=SUM(Z388,AH388,AP388,AX388,BF388),"○","×")</f>
        <v>○</v>
      </c>
    </row>
    <row r="389" spans="1:63" x14ac:dyDescent="0.2">
      <c r="A389" s="428">
        <v>1585</v>
      </c>
      <c r="B389" s="429"/>
      <c r="C389" s="430"/>
      <c r="D389" s="429"/>
      <c r="E389" s="430"/>
      <c r="F389" s="429"/>
      <c r="G389" s="429"/>
      <c r="H389" s="430"/>
      <c r="I389" s="429"/>
      <c r="J389" s="429"/>
      <c r="K389" s="429"/>
      <c r="L389" s="383"/>
      <c r="M389" s="383">
        <v>1551031</v>
      </c>
      <c r="N389" s="383" t="s">
        <v>470</v>
      </c>
      <c r="O389" s="383" t="s">
        <v>815</v>
      </c>
      <c r="P389" s="383" t="s">
        <v>970</v>
      </c>
      <c r="Q389" s="383"/>
      <c r="R389" s="431">
        <v>447000</v>
      </c>
      <c r="S389" s="158">
        <v>0</v>
      </c>
      <c r="T389" s="158">
        <v>0</v>
      </c>
      <c r="U389" s="158">
        <v>0</v>
      </c>
      <c r="V389" s="158">
        <v>0</v>
      </c>
      <c r="W389" s="158">
        <v>0</v>
      </c>
      <c r="X389" s="158">
        <v>0</v>
      </c>
      <c r="Y389" s="158">
        <v>0</v>
      </c>
      <c r="Z389" s="158">
        <v>0</v>
      </c>
      <c r="AA389" s="432">
        <v>0</v>
      </c>
      <c r="AB389" s="432">
        <v>0</v>
      </c>
      <c r="AC389" s="432">
        <v>0</v>
      </c>
      <c r="AD389" s="432">
        <v>0</v>
      </c>
      <c r="AE389" s="432">
        <v>0</v>
      </c>
      <c r="AF389" s="432">
        <v>0</v>
      </c>
      <c r="AG389" s="432">
        <v>0</v>
      </c>
      <c r="AH389" s="432">
        <v>0</v>
      </c>
      <c r="AI389" s="158">
        <v>447744</v>
      </c>
      <c r="AJ389" s="158">
        <v>0</v>
      </c>
      <c r="AK389" s="158">
        <v>447744</v>
      </c>
      <c r="AL389" s="158">
        <v>447744</v>
      </c>
      <c r="AM389" s="158">
        <v>3074400</v>
      </c>
      <c r="AN389" s="158">
        <v>447744</v>
      </c>
      <c r="AO389" s="158">
        <v>447744</v>
      </c>
      <c r="AP389" s="158">
        <v>447000</v>
      </c>
      <c r="AQ389" s="432">
        <v>0</v>
      </c>
      <c r="AR389" s="432">
        <v>0</v>
      </c>
      <c r="AS389" s="432">
        <v>0</v>
      </c>
      <c r="AT389" s="432">
        <v>0</v>
      </c>
      <c r="AU389" s="432">
        <v>0</v>
      </c>
      <c r="AV389" s="432">
        <v>0</v>
      </c>
      <c r="AW389" s="432">
        <v>0</v>
      </c>
      <c r="AX389" s="432">
        <v>0</v>
      </c>
      <c r="AY389" s="158">
        <v>0</v>
      </c>
      <c r="AZ389" s="158">
        <v>0</v>
      </c>
      <c r="BA389" s="158">
        <v>0</v>
      </c>
      <c r="BB389" s="158">
        <v>0</v>
      </c>
      <c r="BC389" s="158">
        <v>0</v>
      </c>
      <c r="BD389" s="158">
        <v>0</v>
      </c>
      <c r="BE389" s="158">
        <v>0</v>
      </c>
      <c r="BF389" s="160">
        <v>0</v>
      </c>
      <c r="BG389" s="383">
        <v>2023</v>
      </c>
      <c r="BH389" s="383">
        <v>1</v>
      </c>
      <c r="BI389" s="383">
        <v>19</v>
      </c>
      <c r="BK389" s="147" t="str">
        <f>IF(R389=SUM(Z389,AH389,AP389,AX389,BF389),"○","×")</f>
        <v>○</v>
      </c>
    </row>
    <row r="390" spans="1:63" x14ac:dyDescent="0.2">
      <c r="A390" s="428">
        <v>1586</v>
      </c>
      <c r="B390" s="429"/>
      <c r="C390" s="430"/>
      <c r="D390" s="429"/>
      <c r="E390" s="430"/>
      <c r="F390" s="429"/>
      <c r="G390" s="429"/>
      <c r="H390" s="430"/>
      <c r="I390" s="429"/>
      <c r="J390" s="429"/>
      <c r="K390" s="429"/>
      <c r="L390" s="383"/>
      <c r="M390" s="383" t="s">
        <v>816</v>
      </c>
      <c r="N390" s="383" t="s">
        <v>356</v>
      </c>
      <c r="O390" s="383" t="s">
        <v>804</v>
      </c>
      <c r="P390" s="383" t="s">
        <v>970</v>
      </c>
      <c r="Q390" s="383"/>
      <c r="R390" s="431">
        <v>1038000</v>
      </c>
      <c r="S390" s="158">
        <v>0</v>
      </c>
      <c r="T390" s="158">
        <v>0</v>
      </c>
      <c r="U390" s="158">
        <v>0</v>
      </c>
      <c r="V390" s="158">
        <v>0</v>
      </c>
      <c r="W390" s="158">
        <v>0</v>
      </c>
      <c r="X390" s="158">
        <v>0</v>
      </c>
      <c r="Y390" s="158">
        <v>0</v>
      </c>
      <c r="Z390" s="158">
        <v>0</v>
      </c>
      <c r="AA390" s="432">
        <v>0</v>
      </c>
      <c r="AB390" s="432">
        <v>0</v>
      </c>
      <c r="AC390" s="432">
        <v>0</v>
      </c>
      <c r="AD390" s="432">
        <v>0</v>
      </c>
      <c r="AE390" s="432">
        <v>0</v>
      </c>
      <c r="AF390" s="432">
        <v>0</v>
      </c>
      <c r="AG390" s="432">
        <v>0</v>
      </c>
      <c r="AH390" s="432">
        <v>0</v>
      </c>
      <c r="AI390" s="158">
        <v>1038950</v>
      </c>
      <c r="AJ390" s="158">
        <v>0</v>
      </c>
      <c r="AK390" s="158">
        <v>1038950</v>
      </c>
      <c r="AL390" s="158">
        <v>1038950</v>
      </c>
      <c r="AM390" s="158">
        <v>2142000</v>
      </c>
      <c r="AN390" s="158">
        <v>1038950</v>
      </c>
      <c r="AO390" s="158">
        <v>1038950</v>
      </c>
      <c r="AP390" s="158">
        <v>1038000</v>
      </c>
      <c r="AQ390" s="432">
        <v>0</v>
      </c>
      <c r="AR390" s="432">
        <v>0</v>
      </c>
      <c r="AS390" s="432">
        <v>0</v>
      </c>
      <c r="AT390" s="432">
        <v>0</v>
      </c>
      <c r="AU390" s="432">
        <v>0</v>
      </c>
      <c r="AV390" s="432">
        <v>0</v>
      </c>
      <c r="AW390" s="432">
        <v>0</v>
      </c>
      <c r="AX390" s="432">
        <v>0</v>
      </c>
      <c r="AY390" s="158">
        <v>0</v>
      </c>
      <c r="AZ390" s="158">
        <v>0</v>
      </c>
      <c r="BA390" s="158">
        <v>0</v>
      </c>
      <c r="BB390" s="158">
        <v>0</v>
      </c>
      <c r="BC390" s="158">
        <v>0</v>
      </c>
      <c r="BD390" s="158">
        <v>0</v>
      </c>
      <c r="BE390" s="158">
        <v>0</v>
      </c>
      <c r="BF390" s="160">
        <v>0</v>
      </c>
      <c r="BG390" s="383">
        <v>2023</v>
      </c>
      <c r="BH390" s="383">
        <v>1</v>
      </c>
      <c r="BI390" s="383">
        <v>19</v>
      </c>
      <c r="BK390" s="147" t="str">
        <f>IF(R390=SUM(Z390,AH390,AP390,AX390,BF390),"○","×")</f>
        <v>○</v>
      </c>
    </row>
    <row r="391" spans="1:63" x14ac:dyDescent="0.2">
      <c r="A391" s="428">
        <v>1587</v>
      </c>
      <c r="B391" s="429"/>
      <c r="C391" s="430"/>
      <c r="D391" s="429"/>
      <c r="E391" s="430"/>
      <c r="F391" s="429"/>
      <c r="G391" s="429"/>
      <c r="H391" s="430"/>
      <c r="I391" s="429"/>
      <c r="J391" s="429"/>
      <c r="K391" s="429"/>
      <c r="L391" s="383"/>
      <c r="M391" s="383" t="s">
        <v>724</v>
      </c>
      <c r="N391" s="383" t="s">
        <v>367</v>
      </c>
      <c r="O391" s="383" t="s">
        <v>391</v>
      </c>
      <c r="P391" s="383" t="s">
        <v>970</v>
      </c>
      <c r="Q391" s="383"/>
      <c r="R391" s="431">
        <v>1349000</v>
      </c>
      <c r="S391" s="158">
        <v>0</v>
      </c>
      <c r="T391" s="158">
        <v>0</v>
      </c>
      <c r="U391" s="158">
        <v>0</v>
      </c>
      <c r="V391" s="158">
        <v>0</v>
      </c>
      <c r="W391" s="158">
        <v>0</v>
      </c>
      <c r="X391" s="158">
        <v>0</v>
      </c>
      <c r="Y391" s="158">
        <v>0</v>
      </c>
      <c r="Z391" s="158">
        <v>0</v>
      </c>
      <c r="AA391" s="432">
        <v>0</v>
      </c>
      <c r="AB391" s="432">
        <v>0</v>
      </c>
      <c r="AC391" s="432">
        <v>0</v>
      </c>
      <c r="AD391" s="432">
        <v>0</v>
      </c>
      <c r="AE391" s="432">
        <v>0</v>
      </c>
      <c r="AF391" s="432">
        <v>0</v>
      </c>
      <c r="AG391" s="432">
        <v>0</v>
      </c>
      <c r="AH391" s="432">
        <v>0</v>
      </c>
      <c r="AI391" s="158">
        <v>1349918</v>
      </c>
      <c r="AJ391" s="158">
        <v>0</v>
      </c>
      <c r="AK391" s="158">
        <v>1349918</v>
      </c>
      <c r="AL391" s="158">
        <v>1349918</v>
      </c>
      <c r="AM391" s="158">
        <v>2613600</v>
      </c>
      <c r="AN391" s="158">
        <v>1349918</v>
      </c>
      <c r="AO391" s="158">
        <v>1349918</v>
      </c>
      <c r="AP391" s="158">
        <v>1349000</v>
      </c>
      <c r="AQ391" s="432">
        <v>0</v>
      </c>
      <c r="AR391" s="432">
        <v>0</v>
      </c>
      <c r="AS391" s="432">
        <v>0</v>
      </c>
      <c r="AT391" s="432">
        <v>0</v>
      </c>
      <c r="AU391" s="432">
        <v>0</v>
      </c>
      <c r="AV391" s="432">
        <v>0</v>
      </c>
      <c r="AW391" s="432">
        <v>0</v>
      </c>
      <c r="AX391" s="432">
        <v>0</v>
      </c>
      <c r="AY391" s="158">
        <v>0</v>
      </c>
      <c r="AZ391" s="158">
        <v>0</v>
      </c>
      <c r="BA391" s="158">
        <v>0</v>
      </c>
      <c r="BB391" s="158">
        <v>0</v>
      </c>
      <c r="BC391" s="158">
        <v>0</v>
      </c>
      <c r="BD391" s="158">
        <v>0</v>
      </c>
      <c r="BE391" s="158">
        <v>0</v>
      </c>
      <c r="BF391" s="160">
        <v>0</v>
      </c>
      <c r="BG391" s="383">
        <v>2023</v>
      </c>
      <c r="BH391" s="383">
        <v>1</v>
      </c>
      <c r="BI391" s="383">
        <v>19</v>
      </c>
      <c r="BK391" s="147" t="str">
        <f>IF(R391=SUM(Z391,AH391,AP391,AX391,BF391),"○","×")</f>
        <v>○</v>
      </c>
    </row>
    <row r="392" spans="1:63" x14ac:dyDescent="0.2">
      <c r="A392" s="428">
        <v>1588</v>
      </c>
      <c r="B392" s="429"/>
      <c r="C392" s="430"/>
      <c r="D392" s="429"/>
      <c r="E392" s="430"/>
      <c r="F392" s="429"/>
      <c r="G392" s="429"/>
      <c r="H392" s="430"/>
      <c r="I392" s="429"/>
      <c r="J392" s="429"/>
      <c r="K392" s="429"/>
      <c r="L392" s="383"/>
      <c r="M392" s="383" t="s">
        <v>605</v>
      </c>
      <c r="N392" s="383" t="s">
        <v>340</v>
      </c>
      <c r="O392" s="383" t="s">
        <v>606</v>
      </c>
      <c r="P392" s="383" t="s">
        <v>970</v>
      </c>
      <c r="Q392" s="383"/>
      <c r="R392" s="431">
        <v>435000</v>
      </c>
      <c r="S392" s="158">
        <v>0</v>
      </c>
      <c r="T392" s="158">
        <v>0</v>
      </c>
      <c r="U392" s="158">
        <v>0</v>
      </c>
      <c r="V392" s="158">
        <v>0</v>
      </c>
      <c r="W392" s="158">
        <v>0</v>
      </c>
      <c r="X392" s="158">
        <v>0</v>
      </c>
      <c r="Y392" s="158">
        <v>0</v>
      </c>
      <c r="Z392" s="158">
        <v>0</v>
      </c>
      <c r="AA392" s="432">
        <v>0</v>
      </c>
      <c r="AB392" s="432">
        <v>0</v>
      </c>
      <c r="AC392" s="432">
        <v>0</v>
      </c>
      <c r="AD392" s="432">
        <v>0</v>
      </c>
      <c r="AE392" s="432">
        <v>0</v>
      </c>
      <c r="AF392" s="432">
        <v>0</v>
      </c>
      <c r="AG392" s="432">
        <v>0</v>
      </c>
      <c r="AH392" s="432">
        <v>0</v>
      </c>
      <c r="AI392" s="158">
        <v>435014</v>
      </c>
      <c r="AJ392" s="158">
        <v>0</v>
      </c>
      <c r="AK392" s="158">
        <v>435014</v>
      </c>
      <c r="AL392" s="158">
        <v>435014</v>
      </c>
      <c r="AM392" s="158">
        <v>856800</v>
      </c>
      <c r="AN392" s="158">
        <v>435014</v>
      </c>
      <c r="AO392" s="158">
        <v>435014</v>
      </c>
      <c r="AP392" s="158">
        <v>435000</v>
      </c>
      <c r="AQ392" s="432">
        <v>0</v>
      </c>
      <c r="AR392" s="432">
        <v>0</v>
      </c>
      <c r="AS392" s="432">
        <v>0</v>
      </c>
      <c r="AT392" s="432">
        <v>0</v>
      </c>
      <c r="AU392" s="432">
        <v>0</v>
      </c>
      <c r="AV392" s="432">
        <v>0</v>
      </c>
      <c r="AW392" s="432">
        <v>0</v>
      </c>
      <c r="AX392" s="432">
        <v>0</v>
      </c>
      <c r="AY392" s="158">
        <v>0</v>
      </c>
      <c r="AZ392" s="158">
        <v>0</v>
      </c>
      <c r="BA392" s="158">
        <v>0</v>
      </c>
      <c r="BB392" s="158">
        <v>0</v>
      </c>
      <c r="BC392" s="158">
        <v>0</v>
      </c>
      <c r="BD392" s="158">
        <v>0</v>
      </c>
      <c r="BE392" s="158">
        <v>0</v>
      </c>
      <c r="BF392" s="160">
        <v>0</v>
      </c>
      <c r="BG392" s="383">
        <v>2023</v>
      </c>
      <c r="BH392" s="383">
        <v>1</v>
      </c>
      <c r="BI392" s="383">
        <v>19</v>
      </c>
      <c r="BK392" s="147" t="str">
        <f>IF(R392=SUM(Z392,AH392,AP392,AX392,BF392),"○","×")</f>
        <v>○</v>
      </c>
    </row>
    <row r="393" spans="1:63" x14ac:dyDescent="0.2">
      <c r="A393" s="428">
        <v>1589</v>
      </c>
      <c r="B393" s="429"/>
      <c r="C393" s="430"/>
      <c r="D393" s="429"/>
      <c r="E393" s="430"/>
      <c r="F393" s="429"/>
      <c r="G393" s="429"/>
      <c r="H393" s="430"/>
      <c r="I393" s="429"/>
      <c r="J393" s="429"/>
      <c r="K393" s="429"/>
      <c r="L393" s="383"/>
      <c r="M393" s="383" t="s">
        <v>503</v>
      </c>
      <c r="N393" s="383" t="s">
        <v>329</v>
      </c>
      <c r="O393" s="383" t="s">
        <v>504</v>
      </c>
      <c r="P393" s="383" t="s">
        <v>970</v>
      </c>
      <c r="Q393" s="383"/>
      <c r="R393" s="431">
        <v>268000</v>
      </c>
      <c r="S393" s="158">
        <v>0</v>
      </c>
      <c r="T393" s="158">
        <v>0</v>
      </c>
      <c r="U393" s="158">
        <v>0</v>
      </c>
      <c r="V393" s="158">
        <v>0</v>
      </c>
      <c r="W393" s="158">
        <v>0</v>
      </c>
      <c r="X393" s="158">
        <v>0</v>
      </c>
      <c r="Y393" s="158">
        <v>0</v>
      </c>
      <c r="Z393" s="158">
        <v>0</v>
      </c>
      <c r="AA393" s="432">
        <v>0</v>
      </c>
      <c r="AB393" s="432">
        <v>0</v>
      </c>
      <c r="AC393" s="432">
        <v>0</v>
      </c>
      <c r="AD393" s="432">
        <v>0</v>
      </c>
      <c r="AE393" s="432">
        <v>0</v>
      </c>
      <c r="AF393" s="432">
        <v>0</v>
      </c>
      <c r="AG393" s="432">
        <v>0</v>
      </c>
      <c r="AH393" s="432">
        <v>0</v>
      </c>
      <c r="AI393" s="158">
        <v>268668</v>
      </c>
      <c r="AJ393" s="158">
        <v>0</v>
      </c>
      <c r="AK393" s="158">
        <v>268668</v>
      </c>
      <c r="AL393" s="158">
        <v>268668</v>
      </c>
      <c r="AM393" s="158">
        <v>2073600</v>
      </c>
      <c r="AN393" s="158">
        <v>268668</v>
      </c>
      <c r="AO393" s="158">
        <v>268668</v>
      </c>
      <c r="AP393" s="158">
        <v>268000</v>
      </c>
      <c r="AQ393" s="432">
        <v>0</v>
      </c>
      <c r="AR393" s="432">
        <v>0</v>
      </c>
      <c r="AS393" s="432">
        <v>0</v>
      </c>
      <c r="AT393" s="432">
        <v>0</v>
      </c>
      <c r="AU393" s="432">
        <v>0</v>
      </c>
      <c r="AV393" s="432">
        <v>0</v>
      </c>
      <c r="AW393" s="432">
        <v>0</v>
      </c>
      <c r="AX393" s="432">
        <v>0</v>
      </c>
      <c r="AY393" s="158">
        <v>0</v>
      </c>
      <c r="AZ393" s="158">
        <v>0</v>
      </c>
      <c r="BA393" s="158">
        <v>0</v>
      </c>
      <c r="BB393" s="158">
        <v>0</v>
      </c>
      <c r="BC393" s="158">
        <v>0</v>
      </c>
      <c r="BD393" s="158">
        <v>0</v>
      </c>
      <c r="BE393" s="158">
        <v>0</v>
      </c>
      <c r="BF393" s="160">
        <v>0</v>
      </c>
      <c r="BG393" s="383">
        <v>2023</v>
      </c>
      <c r="BH393" s="383">
        <v>1</v>
      </c>
      <c r="BI393" s="383">
        <v>19</v>
      </c>
      <c r="BK393" s="147" t="str">
        <f>IF(R393=SUM(Z393,AH393,AP393,AX393,BF393),"○","×")</f>
        <v>○</v>
      </c>
    </row>
    <row r="394" spans="1:63" x14ac:dyDescent="0.2">
      <c r="A394" s="428">
        <v>1590</v>
      </c>
      <c r="B394" s="429"/>
      <c r="C394" s="430"/>
      <c r="D394" s="429"/>
      <c r="E394" s="430"/>
      <c r="F394" s="429"/>
      <c r="G394" s="429"/>
      <c r="H394" s="430"/>
      <c r="I394" s="429"/>
      <c r="J394" s="429"/>
      <c r="K394" s="429"/>
      <c r="L394" s="383"/>
      <c r="M394" s="383" t="s">
        <v>512</v>
      </c>
      <c r="N394" s="383" t="s">
        <v>323</v>
      </c>
      <c r="O394" s="383" t="s">
        <v>513</v>
      </c>
      <c r="P394" s="383" t="s">
        <v>970</v>
      </c>
      <c r="Q394" s="383"/>
      <c r="R394" s="431">
        <v>310000</v>
      </c>
      <c r="S394" s="158">
        <v>0</v>
      </c>
      <c r="T394" s="158">
        <v>0</v>
      </c>
      <c r="U394" s="158">
        <v>0</v>
      </c>
      <c r="V394" s="158">
        <v>0</v>
      </c>
      <c r="W394" s="158">
        <v>0</v>
      </c>
      <c r="X394" s="158">
        <v>0</v>
      </c>
      <c r="Y394" s="158">
        <v>0</v>
      </c>
      <c r="Z394" s="158">
        <v>0</v>
      </c>
      <c r="AA394" s="432">
        <v>0</v>
      </c>
      <c r="AB394" s="432">
        <v>0</v>
      </c>
      <c r="AC394" s="432">
        <v>0</v>
      </c>
      <c r="AD394" s="432">
        <v>0</v>
      </c>
      <c r="AE394" s="432">
        <v>0</v>
      </c>
      <c r="AF394" s="432">
        <v>0</v>
      </c>
      <c r="AG394" s="432">
        <v>0</v>
      </c>
      <c r="AH394" s="432">
        <v>0</v>
      </c>
      <c r="AI394" s="158">
        <v>310870</v>
      </c>
      <c r="AJ394" s="158">
        <v>0</v>
      </c>
      <c r="AK394" s="158">
        <v>310870</v>
      </c>
      <c r="AL394" s="158">
        <v>310870</v>
      </c>
      <c r="AM394" s="158">
        <v>1566000</v>
      </c>
      <c r="AN394" s="158">
        <v>310870</v>
      </c>
      <c r="AO394" s="158">
        <v>310870</v>
      </c>
      <c r="AP394" s="158">
        <v>310000</v>
      </c>
      <c r="AQ394" s="432">
        <v>0</v>
      </c>
      <c r="AR394" s="432">
        <v>0</v>
      </c>
      <c r="AS394" s="432">
        <v>0</v>
      </c>
      <c r="AT394" s="432">
        <v>0</v>
      </c>
      <c r="AU394" s="432">
        <v>0</v>
      </c>
      <c r="AV394" s="432">
        <v>0</v>
      </c>
      <c r="AW394" s="432">
        <v>0</v>
      </c>
      <c r="AX394" s="432">
        <v>0</v>
      </c>
      <c r="AY394" s="158">
        <v>0</v>
      </c>
      <c r="AZ394" s="158">
        <v>0</v>
      </c>
      <c r="BA394" s="158">
        <v>0</v>
      </c>
      <c r="BB394" s="158">
        <v>0</v>
      </c>
      <c r="BC394" s="158">
        <v>0</v>
      </c>
      <c r="BD394" s="158">
        <v>0</v>
      </c>
      <c r="BE394" s="158">
        <v>0</v>
      </c>
      <c r="BF394" s="160">
        <v>0</v>
      </c>
      <c r="BG394" s="383">
        <v>2023</v>
      </c>
      <c r="BH394" s="383">
        <v>1</v>
      </c>
      <c r="BI394" s="383">
        <v>19</v>
      </c>
      <c r="BK394" s="147" t="str">
        <f>IF(R394=SUM(Z394,AH394,AP394,AX394,BF394),"○","×")</f>
        <v>○</v>
      </c>
    </row>
    <row r="395" spans="1:63" x14ac:dyDescent="0.2">
      <c r="A395" s="428">
        <v>1591</v>
      </c>
      <c r="B395" s="429"/>
      <c r="C395" s="430"/>
      <c r="D395" s="429"/>
      <c r="E395" s="430"/>
      <c r="F395" s="429"/>
      <c r="G395" s="429"/>
      <c r="H395" s="430"/>
      <c r="I395" s="429"/>
      <c r="J395" s="429"/>
      <c r="K395" s="429"/>
      <c r="L395" s="383"/>
      <c r="M395" s="383" t="s">
        <v>623</v>
      </c>
      <c r="N395" s="383" t="s">
        <v>353</v>
      </c>
      <c r="O395" s="383" t="s">
        <v>395</v>
      </c>
      <c r="P395" s="383" t="s">
        <v>970</v>
      </c>
      <c r="Q395" s="383"/>
      <c r="R395" s="431">
        <v>432000</v>
      </c>
      <c r="S395" s="158">
        <v>0</v>
      </c>
      <c r="T395" s="158">
        <v>0</v>
      </c>
      <c r="U395" s="158">
        <v>0</v>
      </c>
      <c r="V395" s="158">
        <v>0</v>
      </c>
      <c r="W395" s="158">
        <v>0</v>
      </c>
      <c r="X395" s="158">
        <v>0</v>
      </c>
      <c r="Y395" s="158">
        <v>0</v>
      </c>
      <c r="Z395" s="158">
        <v>0</v>
      </c>
      <c r="AA395" s="432">
        <v>0</v>
      </c>
      <c r="AB395" s="432">
        <v>0</v>
      </c>
      <c r="AC395" s="432">
        <v>0</v>
      </c>
      <c r="AD395" s="432">
        <v>0</v>
      </c>
      <c r="AE395" s="432">
        <v>0</v>
      </c>
      <c r="AF395" s="432">
        <v>0</v>
      </c>
      <c r="AG395" s="432">
        <v>0</v>
      </c>
      <c r="AH395" s="432">
        <v>0</v>
      </c>
      <c r="AI395" s="158">
        <v>432160</v>
      </c>
      <c r="AJ395" s="158">
        <v>0</v>
      </c>
      <c r="AK395" s="158">
        <v>432160</v>
      </c>
      <c r="AL395" s="158">
        <v>432160</v>
      </c>
      <c r="AM395" s="158">
        <v>2592000</v>
      </c>
      <c r="AN395" s="158">
        <v>432160</v>
      </c>
      <c r="AO395" s="158">
        <v>432160</v>
      </c>
      <c r="AP395" s="158">
        <v>432000</v>
      </c>
      <c r="AQ395" s="432">
        <v>0</v>
      </c>
      <c r="AR395" s="432">
        <v>0</v>
      </c>
      <c r="AS395" s="432">
        <v>0</v>
      </c>
      <c r="AT395" s="432">
        <v>0</v>
      </c>
      <c r="AU395" s="432">
        <v>0</v>
      </c>
      <c r="AV395" s="432">
        <v>0</v>
      </c>
      <c r="AW395" s="432">
        <v>0</v>
      </c>
      <c r="AX395" s="432">
        <v>0</v>
      </c>
      <c r="AY395" s="158">
        <v>0</v>
      </c>
      <c r="AZ395" s="158">
        <v>0</v>
      </c>
      <c r="BA395" s="158">
        <v>0</v>
      </c>
      <c r="BB395" s="158">
        <v>0</v>
      </c>
      <c r="BC395" s="158">
        <v>0</v>
      </c>
      <c r="BD395" s="158">
        <v>0</v>
      </c>
      <c r="BE395" s="158">
        <v>0</v>
      </c>
      <c r="BF395" s="160">
        <v>0</v>
      </c>
      <c r="BG395" s="383">
        <v>2023</v>
      </c>
      <c r="BH395" s="383">
        <v>1</v>
      </c>
      <c r="BI395" s="383">
        <v>19</v>
      </c>
      <c r="BK395" s="147" t="str">
        <f>IF(R395=SUM(Z395,AH395,AP395,AX395,BF395),"○","×")</f>
        <v>○</v>
      </c>
    </row>
    <row r="396" spans="1:63" x14ac:dyDescent="0.2">
      <c r="A396" s="428">
        <v>1592</v>
      </c>
      <c r="B396" s="429"/>
      <c r="C396" s="430"/>
      <c r="D396" s="429"/>
      <c r="E396" s="430"/>
      <c r="F396" s="429"/>
      <c r="G396" s="429"/>
      <c r="H396" s="430"/>
      <c r="I396" s="429"/>
      <c r="J396" s="429"/>
      <c r="K396" s="429"/>
      <c r="L396" s="383"/>
      <c r="M396" s="383" t="s">
        <v>817</v>
      </c>
      <c r="N396" s="383" t="s">
        <v>335</v>
      </c>
      <c r="O396" s="383" t="s">
        <v>818</v>
      </c>
      <c r="P396" s="383" t="s">
        <v>970</v>
      </c>
      <c r="Q396" s="383"/>
      <c r="R396" s="431">
        <v>55000</v>
      </c>
      <c r="S396" s="158">
        <v>0</v>
      </c>
      <c r="T396" s="158">
        <v>0</v>
      </c>
      <c r="U396" s="158">
        <v>0</v>
      </c>
      <c r="V396" s="158">
        <v>0</v>
      </c>
      <c r="W396" s="158">
        <v>0</v>
      </c>
      <c r="X396" s="158">
        <v>0</v>
      </c>
      <c r="Y396" s="158">
        <v>0</v>
      </c>
      <c r="Z396" s="158">
        <v>0</v>
      </c>
      <c r="AA396" s="432">
        <v>0</v>
      </c>
      <c r="AB396" s="432">
        <v>0</v>
      </c>
      <c r="AC396" s="432">
        <v>0</v>
      </c>
      <c r="AD396" s="432">
        <v>0</v>
      </c>
      <c r="AE396" s="432">
        <v>0</v>
      </c>
      <c r="AF396" s="432">
        <v>0</v>
      </c>
      <c r="AG396" s="432">
        <v>0</v>
      </c>
      <c r="AH396" s="432">
        <v>0</v>
      </c>
      <c r="AI396" s="158">
        <v>55000</v>
      </c>
      <c r="AJ396" s="158">
        <v>0</v>
      </c>
      <c r="AK396" s="158">
        <v>55000</v>
      </c>
      <c r="AL396" s="158">
        <v>55000</v>
      </c>
      <c r="AM396" s="158">
        <v>2088000</v>
      </c>
      <c r="AN396" s="158">
        <v>55000</v>
      </c>
      <c r="AO396" s="158">
        <v>55000</v>
      </c>
      <c r="AP396" s="158">
        <v>55000</v>
      </c>
      <c r="AQ396" s="432">
        <v>0</v>
      </c>
      <c r="AR396" s="432">
        <v>0</v>
      </c>
      <c r="AS396" s="432">
        <v>0</v>
      </c>
      <c r="AT396" s="432">
        <v>0</v>
      </c>
      <c r="AU396" s="432">
        <v>0</v>
      </c>
      <c r="AV396" s="432">
        <v>0</v>
      </c>
      <c r="AW396" s="432">
        <v>0</v>
      </c>
      <c r="AX396" s="432">
        <v>0</v>
      </c>
      <c r="AY396" s="158">
        <v>0</v>
      </c>
      <c r="AZ396" s="158">
        <v>0</v>
      </c>
      <c r="BA396" s="158">
        <v>0</v>
      </c>
      <c r="BB396" s="158">
        <v>0</v>
      </c>
      <c r="BC396" s="158">
        <v>0</v>
      </c>
      <c r="BD396" s="158">
        <v>0</v>
      </c>
      <c r="BE396" s="158">
        <v>0</v>
      </c>
      <c r="BF396" s="160">
        <v>0</v>
      </c>
      <c r="BG396" s="383">
        <v>2023</v>
      </c>
      <c r="BH396" s="383">
        <v>1</v>
      </c>
      <c r="BI396" s="383">
        <v>19</v>
      </c>
      <c r="BK396" s="147" t="str">
        <f>IF(R396=SUM(Z396,AH396,AP396,AX396,BF396),"○","×")</f>
        <v>○</v>
      </c>
    </row>
    <row r="397" spans="1:63" x14ac:dyDescent="0.2">
      <c r="A397" s="428">
        <v>1593</v>
      </c>
      <c r="B397" s="429"/>
      <c r="C397" s="430"/>
      <c r="D397" s="429"/>
      <c r="E397" s="430"/>
      <c r="F397" s="429"/>
      <c r="G397" s="429"/>
      <c r="H397" s="430"/>
      <c r="I397" s="429"/>
      <c r="J397" s="429"/>
      <c r="K397" s="429"/>
      <c r="L397" s="383"/>
      <c r="M397" s="383" t="s">
        <v>819</v>
      </c>
      <c r="N397" s="383" t="s">
        <v>332</v>
      </c>
      <c r="O397" s="383" t="s">
        <v>820</v>
      </c>
      <c r="P397" s="383" t="s">
        <v>970</v>
      </c>
      <c r="Q397" s="383"/>
      <c r="R397" s="431">
        <v>241000</v>
      </c>
      <c r="S397" s="158">
        <v>0</v>
      </c>
      <c r="T397" s="158">
        <v>0</v>
      </c>
      <c r="U397" s="158">
        <v>0</v>
      </c>
      <c r="V397" s="158">
        <v>0</v>
      </c>
      <c r="W397" s="158">
        <v>0</v>
      </c>
      <c r="X397" s="158">
        <v>0</v>
      </c>
      <c r="Y397" s="158">
        <v>0</v>
      </c>
      <c r="Z397" s="158">
        <v>0</v>
      </c>
      <c r="AA397" s="432">
        <v>0</v>
      </c>
      <c r="AB397" s="432">
        <v>0</v>
      </c>
      <c r="AC397" s="432">
        <v>0</v>
      </c>
      <c r="AD397" s="432">
        <v>0</v>
      </c>
      <c r="AE397" s="432">
        <v>0</v>
      </c>
      <c r="AF397" s="432">
        <v>0</v>
      </c>
      <c r="AG397" s="432">
        <v>0</v>
      </c>
      <c r="AH397" s="432">
        <v>0</v>
      </c>
      <c r="AI397" s="158">
        <v>241300</v>
      </c>
      <c r="AJ397" s="158">
        <v>0</v>
      </c>
      <c r="AK397" s="158">
        <v>241300</v>
      </c>
      <c r="AL397" s="158">
        <v>241300</v>
      </c>
      <c r="AM397" s="158">
        <v>2592000</v>
      </c>
      <c r="AN397" s="158">
        <v>241300</v>
      </c>
      <c r="AO397" s="158">
        <v>241300</v>
      </c>
      <c r="AP397" s="158">
        <v>241000</v>
      </c>
      <c r="AQ397" s="432">
        <v>0</v>
      </c>
      <c r="AR397" s="432">
        <v>0</v>
      </c>
      <c r="AS397" s="432">
        <v>0</v>
      </c>
      <c r="AT397" s="432">
        <v>0</v>
      </c>
      <c r="AU397" s="432">
        <v>0</v>
      </c>
      <c r="AV397" s="432">
        <v>0</v>
      </c>
      <c r="AW397" s="432">
        <v>0</v>
      </c>
      <c r="AX397" s="432">
        <v>0</v>
      </c>
      <c r="AY397" s="158">
        <v>0</v>
      </c>
      <c r="AZ397" s="158">
        <v>0</v>
      </c>
      <c r="BA397" s="158">
        <v>0</v>
      </c>
      <c r="BB397" s="158">
        <v>0</v>
      </c>
      <c r="BC397" s="158">
        <v>0</v>
      </c>
      <c r="BD397" s="158">
        <v>0</v>
      </c>
      <c r="BE397" s="158">
        <v>0</v>
      </c>
      <c r="BF397" s="160">
        <v>0</v>
      </c>
      <c r="BG397" s="383">
        <v>2023</v>
      </c>
      <c r="BH397" s="383">
        <v>1</v>
      </c>
      <c r="BI397" s="383">
        <v>19</v>
      </c>
      <c r="BK397" s="147" t="str">
        <f>IF(R397=SUM(Z397,AH397,AP397,AX397,BF397),"○","×")</f>
        <v>○</v>
      </c>
    </row>
    <row r="398" spans="1:63" x14ac:dyDescent="0.2">
      <c r="A398" s="428">
        <v>1594</v>
      </c>
      <c r="B398" s="429"/>
      <c r="C398" s="430"/>
      <c r="D398" s="429"/>
      <c r="E398" s="430"/>
      <c r="F398" s="429"/>
      <c r="G398" s="429"/>
      <c r="H398" s="430"/>
      <c r="I398" s="429"/>
      <c r="J398" s="429"/>
      <c r="K398" s="429"/>
      <c r="L398" s="383"/>
      <c r="M398" s="383" t="s">
        <v>821</v>
      </c>
      <c r="N398" s="383" t="s">
        <v>356</v>
      </c>
      <c r="O398" s="383" t="s">
        <v>525</v>
      </c>
      <c r="P398" s="383" t="s">
        <v>970</v>
      </c>
      <c r="Q398" s="383"/>
      <c r="R398" s="431">
        <v>36000</v>
      </c>
      <c r="S398" s="158">
        <v>0</v>
      </c>
      <c r="T398" s="158">
        <v>0</v>
      </c>
      <c r="U398" s="158">
        <v>0</v>
      </c>
      <c r="V398" s="158">
        <v>0</v>
      </c>
      <c r="W398" s="158">
        <v>0</v>
      </c>
      <c r="X398" s="158">
        <v>0</v>
      </c>
      <c r="Y398" s="158">
        <v>0</v>
      </c>
      <c r="Z398" s="158">
        <v>0</v>
      </c>
      <c r="AA398" s="432">
        <v>0</v>
      </c>
      <c r="AB398" s="432">
        <v>0</v>
      </c>
      <c r="AC398" s="432">
        <v>0</v>
      </c>
      <c r="AD398" s="432">
        <v>0</v>
      </c>
      <c r="AE398" s="432">
        <v>0</v>
      </c>
      <c r="AF398" s="432">
        <v>0</v>
      </c>
      <c r="AG398" s="432">
        <v>0</v>
      </c>
      <c r="AH398" s="432">
        <v>0</v>
      </c>
      <c r="AI398" s="158">
        <v>36789</v>
      </c>
      <c r="AJ398" s="158">
        <v>0</v>
      </c>
      <c r="AK398" s="158">
        <v>36789</v>
      </c>
      <c r="AL398" s="158">
        <v>36789</v>
      </c>
      <c r="AM398" s="158">
        <v>4089600</v>
      </c>
      <c r="AN398" s="158">
        <v>36789</v>
      </c>
      <c r="AO398" s="158">
        <v>36789</v>
      </c>
      <c r="AP398" s="158">
        <v>36000</v>
      </c>
      <c r="AQ398" s="432">
        <v>0</v>
      </c>
      <c r="AR398" s="432">
        <v>0</v>
      </c>
      <c r="AS398" s="432">
        <v>0</v>
      </c>
      <c r="AT398" s="432">
        <v>0</v>
      </c>
      <c r="AU398" s="432">
        <v>0</v>
      </c>
      <c r="AV398" s="432">
        <v>0</v>
      </c>
      <c r="AW398" s="432">
        <v>0</v>
      </c>
      <c r="AX398" s="432">
        <v>0</v>
      </c>
      <c r="AY398" s="158">
        <v>0</v>
      </c>
      <c r="AZ398" s="158">
        <v>0</v>
      </c>
      <c r="BA398" s="158">
        <v>0</v>
      </c>
      <c r="BB398" s="158">
        <v>0</v>
      </c>
      <c r="BC398" s="158">
        <v>0</v>
      </c>
      <c r="BD398" s="158">
        <v>0</v>
      </c>
      <c r="BE398" s="158">
        <v>0</v>
      </c>
      <c r="BF398" s="160">
        <v>0</v>
      </c>
      <c r="BG398" s="383">
        <v>2023</v>
      </c>
      <c r="BH398" s="383">
        <v>1</v>
      </c>
      <c r="BI398" s="383">
        <v>19</v>
      </c>
      <c r="BK398" s="147" t="str">
        <f>IF(R398=SUM(Z398,AH398,AP398,AX398,BF398),"○","×")</f>
        <v>○</v>
      </c>
    </row>
    <row r="399" spans="1:63" x14ac:dyDescent="0.2">
      <c r="A399" s="428">
        <v>1595</v>
      </c>
      <c r="B399" s="429"/>
      <c r="C399" s="430"/>
      <c r="D399" s="429"/>
      <c r="E399" s="430"/>
      <c r="F399" s="429"/>
      <c r="G399" s="429"/>
      <c r="H399" s="430"/>
      <c r="I399" s="429"/>
      <c r="J399" s="429"/>
      <c r="K399" s="429"/>
      <c r="L399" s="383"/>
      <c r="M399" s="383" t="s">
        <v>512</v>
      </c>
      <c r="N399" s="383" t="s">
        <v>323</v>
      </c>
      <c r="O399" s="383" t="s">
        <v>513</v>
      </c>
      <c r="P399" s="383" t="s">
        <v>970</v>
      </c>
      <c r="Q399" s="383"/>
      <c r="R399" s="431">
        <v>387000</v>
      </c>
      <c r="S399" s="158">
        <v>0</v>
      </c>
      <c r="T399" s="158">
        <v>0</v>
      </c>
      <c r="U399" s="158">
        <v>0</v>
      </c>
      <c r="V399" s="158">
        <v>0</v>
      </c>
      <c r="W399" s="158">
        <v>0</v>
      </c>
      <c r="X399" s="158">
        <v>0</v>
      </c>
      <c r="Y399" s="158">
        <v>0</v>
      </c>
      <c r="Z399" s="158">
        <v>0</v>
      </c>
      <c r="AA399" s="432">
        <v>0</v>
      </c>
      <c r="AB399" s="432">
        <v>0</v>
      </c>
      <c r="AC399" s="432">
        <v>0</v>
      </c>
      <c r="AD399" s="432">
        <v>0</v>
      </c>
      <c r="AE399" s="432">
        <v>0</v>
      </c>
      <c r="AF399" s="432">
        <v>0</v>
      </c>
      <c r="AG399" s="432">
        <v>0</v>
      </c>
      <c r="AH399" s="432">
        <v>0</v>
      </c>
      <c r="AI399" s="158">
        <v>381338</v>
      </c>
      <c r="AJ399" s="158">
        <v>0</v>
      </c>
      <c r="AK399" s="158">
        <v>381338</v>
      </c>
      <c r="AL399" s="158">
        <v>381338</v>
      </c>
      <c r="AM399" s="158">
        <v>871200</v>
      </c>
      <c r="AN399" s="158">
        <v>381338</v>
      </c>
      <c r="AO399" s="158">
        <v>381338</v>
      </c>
      <c r="AP399" s="158">
        <v>381000</v>
      </c>
      <c r="AQ399" s="432">
        <v>0</v>
      </c>
      <c r="AR399" s="432">
        <v>0</v>
      </c>
      <c r="AS399" s="432">
        <v>0</v>
      </c>
      <c r="AT399" s="432">
        <v>0</v>
      </c>
      <c r="AU399" s="432">
        <v>0</v>
      </c>
      <c r="AV399" s="432">
        <v>0</v>
      </c>
      <c r="AW399" s="432">
        <v>0</v>
      </c>
      <c r="AX399" s="432">
        <v>0</v>
      </c>
      <c r="AY399" s="158">
        <v>6600</v>
      </c>
      <c r="AZ399" s="158">
        <v>0</v>
      </c>
      <c r="BA399" s="158">
        <v>6600</v>
      </c>
      <c r="BB399" s="158">
        <v>6600</v>
      </c>
      <c r="BC399" s="158">
        <v>6600</v>
      </c>
      <c r="BD399" s="158">
        <v>6600</v>
      </c>
      <c r="BE399" s="158">
        <v>6600</v>
      </c>
      <c r="BF399" s="160">
        <v>6000</v>
      </c>
      <c r="BG399" s="383">
        <v>2023</v>
      </c>
      <c r="BH399" s="383">
        <v>1</v>
      </c>
      <c r="BI399" s="383">
        <v>19</v>
      </c>
      <c r="BK399" s="147" t="str">
        <f>IF(R399=SUM(Z399,AH399,AP399,AX399,BF399),"○","×")</f>
        <v>○</v>
      </c>
    </row>
    <row r="400" spans="1:63" x14ac:dyDescent="0.2">
      <c r="A400" s="428">
        <v>1596</v>
      </c>
      <c r="B400" s="429"/>
      <c r="C400" s="430"/>
      <c r="D400" s="429"/>
      <c r="E400" s="430"/>
      <c r="F400" s="429"/>
      <c r="G400" s="429"/>
      <c r="H400" s="430"/>
      <c r="I400" s="429"/>
      <c r="J400" s="429"/>
      <c r="K400" s="429"/>
      <c r="L400" s="383"/>
      <c r="M400" s="383" t="s">
        <v>822</v>
      </c>
      <c r="N400" s="383" t="s">
        <v>470</v>
      </c>
      <c r="O400" s="383" t="s">
        <v>823</v>
      </c>
      <c r="P400" s="383" t="s">
        <v>971</v>
      </c>
      <c r="Q400" s="383"/>
      <c r="R400" s="431">
        <v>139000</v>
      </c>
      <c r="S400" s="158">
        <v>0</v>
      </c>
      <c r="T400" s="158">
        <v>0</v>
      </c>
      <c r="U400" s="158">
        <v>0</v>
      </c>
      <c r="V400" s="158">
        <v>0</v>
      </c>
      <c r="W400" s="158">
        <v>0</v>
      </c>
      <c r="X400" s="158">
        <v>0</v>
      </c>
      <c r="Y400" s="158">
        <v>0</v>
      </c>
      <c r="Z400" s="158">
        <v>0</v>
      </c>
      <c r="AA400" s="432">
        <v>0</v>
      </c>
      <c r="AB400" s="432">
        <v>0</v>
      </c>
      <c r="AC400" s="432">
        <v>0</v>
      </c>
      <c r="AD400" s="432">
        <v>0</v>
      </c>
      <c r="AE400" s="432">
        <v>0</v>
      </c>
      <c r="AF400" s="432">
        <v>0</v>
      </c>
      <c r="AG400" s="432">
        <v>0</v>
      </c>
      <c r="AH400" s="432">
        <v>0</v>
      </c>
      <c r="AI400" s="158">
        <v>139260</v>
      </c>
      <c r="AJ400" s="158">
        <v>0</v>
      </c>
      <c r="AK400" s="158">
        <v>139260</v>
      </c>
      <c r="AL400" s="158">
        <v>139260</v>
      </c>
      <c r="AM400" s="158">
        <v>2116800</v>
      </c>
      <c r="AN400" s="158">
        <v>139260</v>
      </c>
      <c r="AO400" s="158">
        <v>139260</v>
      </c>
      <c r="AP400" s="158">
        <v>139000</v>
      </c>
      <c r="AQ400" s="432">
        <v>0</v>
      </c>
      <c r="AR400" s="432">
        <v>0</v>
      </c>
      <c r="AS400" s="432">
        <v>0</v>
      </c>
      <c r="AT400" s="432">
        <v>0</v>
      </c>
      <c r="AU400" s="432">
        <v>0</v>
      </c>
      <c r="AV400" s="432">
        <v>0</v>
      </c>
      <c r="AW400" s="432">
        <v>0</v>
      </c>
      <c r="AX400" s="432">
        <v>0</v>
      </c>
      <c r="AY400" s="158">
        <v>0</v>
      </c>
      <c r="AZ400" s="158">
        <v>0</v>
      </c>
      <c r="BA400" s="158">
        <v>0</v>
      </c>
      <c r="BB400" s="158">
        <v>0</v>
      </c>
      <c r="BC400" s="158">
        <v>0</v>
      </c>
      <c r="BD400" s="158">
        <v>0</v>
      </c>
      <c r="BE400" s="158">
        <v>0</v>
      </c>
      <c r="BF400" s="160">
        <v>0</v>
      </c>
      <c r="BG400" s="383">
        <v>2023</v>
      </c>
      <c r="BH400" s="383">
        <v>1</v>
      </c>
      <c r="BI400" s="383">
        <v>19</v>
      </c>
      <c r="BK400" s="147" t="str">
        <f>IF(R400=SUM(Z400,AH400,AP400,AX400,BF400),"○","×")</f>
        <v>○</v>
      </c>
    </row>
    <row r="401" spans="1:63" x14ac:dyDescent="0.2">
      <c r="A401" s="428">
        <v>1597</v>
      </c>
      <c r="B401" s="429"/>
      <c r="C401" s="430"/>
      <c r="D401" s="429"/>
      <c r="E401" s="430"/>
      <c r="F401" s="429"/>
      <c r="G401" s="429"/>
      <c r="H401" s="430"/>
      <c r="I401" s="429"/>
      <c r="J401" s="429"/>
      <c r="K401" s="429"/>
      <c r="L401" s="383"/>
      <c r="M401" s="383" t="s">
        <v>512</v>
      </c>
      <c r="N401" s="383" t="s">
        <v>323</v>
      </c>
      <c r="O401" s="383" t="s">
        <v>513</v>
      </c>
      <c r="P401" s="383" t="s">
        <v>970</v>
      </c>
      <c r="Q401" s="383"/>
      <c r="R401" s="431">
        <v>508000</v>
      </c>
      <c r="S401" s="158">
        <v>0</v>
      </c>
      <c r="T401" s="158">
        <v>0</v>
      </c>
      <c r="U401" s="158">
        <v>0</v>
      </c>
      <c r="V401" s="158">
        <v>0</v>
      </c>
      <c r="W401" s="158">
        <v>0</v>
      </c>
      <c r="X401" s="158">
        <v>0</v>
      </c>
      <c r="Y401" s="158">
        <v>0</v>
      </c>
      <c r="Z401" s="158">
        <v>0</v>
      </c>
      <c r="AA401" s="432">
        <v>0</v>
      </c>
      <c r="AB401" s="432">
        <v>0</v>
      </c>
      <c r="AC401" s="432">
        <v>0</v>
      </c>
      <c r="AD401" s="432">
        <v>0</v>
      </c>
      <c r="AE401" s="432">
        <v>0</v>
      </c>
      <c r="AF401" s="432">
        <v>0</v>
      </c>
      <c r="AG401" s="432">
        <v>0</v>
      </c>
      <c r="AH401" s="432">
        <v>0</v>
      </c>
      <c r="AI401" s="158">
        <v>508148</v>
      </c>
      <c r="AJ401" s="158">
        <v>0</v>
      </c>
      <c r="AK401" s="158">
        <v>508148</v>
      </c>
      <c r="AL401" s="158">
        <v>508148</v>
      </c>
      <c r="AM401" s="158">
        <v>1566000</v>
      </c>
      <c r="AN401" s="158">
        <v>508148</v>
      </c>
      <c r="AO401" s="158">
        <v>508148</v>
      </c>
      <c r="AP401" s="158">
        <v>508000</v>
      </c>
      <c r="AQ401" s="432">
        <v>0</v>
      </c>
      <c r="AR401" s="432">
        <v>0</v>
      </c>
      <c r="AS401" s="432">
        <v>0</v>
      </c>
      <c r="AT401" s="432">
        <v>0</v>
      </c>
      <c r="AU401" s="432">
        <v>0</v>
      </c>
      <c r="AV401" s="432">
        <v>0</v>
      </c>
      <c r="AW401" s="432">
        <v>0</v>
      </c>
      <c r="AX401" s="432">
        <v>0</v>
      </c>
      <c r="AY401" s="158">
        <v>0</v>
      </c>
      <c r="AZ401" s="158">
        <v>0</v>
      </c>
      <c r="BA401" s="158">
        <v>0</v>
      </c>
      <c r="BB401" s="158">
        <v>0</v>
      </c>
      <c r="BC401" s="158">
        <v>0</v>
      </c>
      <c r="BD401" s="158">
        <v>0</v>
      </c>
      <c r="BE401" s="158">
        <v>0</v>
      </c>
      <c r="BF401" s="160">
        <v>0</v>
      </c>
      <c r="BG401" s="383">
        <v>2023</v>
      </c>
      <c r="BH401" s="383">
        <v>1</v>
      </c>
      <c r="BI401" s="383">
        <v>19</v>
      </c>
      <c r="BK401" s="147" t="str">
        <f>IF(R401=SUM(Z401,AH401,AP401,AX401,BF401),"○","×")</f>
        <v>○</v>
      </c>
    </row>
    <row r="402" spans="1:63" x14ac:dyDescent="0.2">
      <c r="A402" s="428">
        <v>1598</v>
      </c>
      <c r="B402" s="429"/>
      <c r="C402" s="430"/>
      <c r="D402" s="429"/>
      <c r="E402" s="430"/>
      <c r="F402" s="429"/>
      <c r="G402" s="429"/>
      <c r="H402" s="430"/>
      <c r="I402" s="429"/>
      <c r="J402" s="429"/>
      <c r="K402" s="429"/>
      <c r="L402" s="383"/>
      <c r="M402" s="383" t="s">
        <v>824</v>
      </c>
      <c r="N402" s="383" t="s">
        <v>384</v>
      </c>
      <c r="O402" s="383" t="s">
        <v>825</v>
      </c>
      <c r="P402" s="383" t="s">
        <v>970</v>
      </c>
      <c r="Q402" s="383"/>
      <c r="R402" s="431">
        <v>164000</v>
      </c>
      <c r="S402" s="158">
        <v>0</v>
      </c>
      <c r="T402" s="158">
        <v>0</v>
      </c>
      <c r="U402" s="158">
        <v>0</v>
      </c>
      <c r="V402" s="158">
        <v>0</v>
      </c>
      <c r="W402" s="158">
        <v>0</v>
      </c>
      <c r="X402" s="158">
        <v>0</v>
      </c>
      <c r="Y402" s="158">
        <v>0</v>
      </c>
      <c r="Z402" s="158">
        <v>0</v>
      </c>
      <c r="AA402" s="432">
        <v>0</v>
      </c>
      <c r="AB402" s="432">
        <v>0</v>
      </c>
      <c r="AC402" s="432">
        <v>0</v>
      </c>
      <c r="AD402" s="432">
        <v>0</v>
      </c>
      <c r="AE402" s="432">
        <v>0</v>
      </c>
      <c r="AF402" s="432">
        <v>0</v>
      </c>
      <c r="AG402" s="432">
        <v>0</v>
      </c>
      <c r="AH402" s="432">
        <v>0</v>
      </c>
      <c r="AI402" s="158">
        <v>164340</v>
      </c>
      <c r="AJ402" s="158">
        <v>0</v>
      </c>
      <c r="AK402" s="158">
        <v>164340</v>
      </c>
      <c r="AL402" s="158">
        <v>164340</v>
      </c>
      <c r="AM402" s="158">
        <v>4118400</v>
      </c>
      <c r="AN402" s="158">
        <v>164340</v>
      </c>
      <c r="AO402" s="158">
        <v>164340</v>
      </c>
      <c r="AP402" s="158">
        <v>164000</v>
      </c>
      <c r="AQ402" s="432">
        <v>0</v>
      </c>
      <c r="AR402" s="432">
        <v>0</v>
      </c>
      <c r="AS402" s="432">
        <v>0</v>
      </c>
      <c r="AT402" s="432">
        <v>0</v>
      </c>
      <c r="AU402" s="432">
        <v>0</v>
      </c>
      <c r="AV402" s="432">
        <v>0</v>
      </c>
      <c r="AW402" s="432">
        <v>0</v>
      </c>
      <c r="AX402" s="432">
        <v>0</v>
      </c>
      <c r="AY402" s="158">
        <v>0</v>
      </c>
      <c r="AZ402" s="158">
        <v>0</v>
      </c>
      <c r="BA402" s="158">
        <v>0</v>
      </c>
      <c r="BB402" s="158">
        <v>0</v>
      </c>
      <c r="BC402" s="158">
        <v>0</v>
      </c>
      <c r="BD402" s="158">
        <v>0</v>
      </c>
      <c r="BE402" s="158">
        <v>0</v>
      </c>
      <c r="BF402" s="160">
        <v>0</v>
      </c>
      <c r="BG402" s="383">
        <v>2023</v>
      </c>
      <c r="BH402" s="383">
        <v>1</v>
      </c>
      <c r="BI402" s="383">
        <v>19</v>
      </c>
      <c r="BK402" s="147" t="str">
        <f>IF(R402=SUM(Z402,AH402,AP402,AX402,BF402),"○","×")</f>
        <v>○</v>
      </c>
    </row>
    <row r="403" spans="1:63" x14ac:dyDescent="0.2">
      <c r="A403" s="428">
        <v>1599</v>
      </c>
      <c r="B403" s="429"/>
      <c r="C403" s="430"/>
      <c r="D403" s="429"/>
      <c r="E403" s="430"/>
      <c r="F403" s="429"/>
      <c r="G403" s="429"/>
      <c r="H403" s="430"/>
      <c r="I403" s="429"/>
      <c r="J403" s="429"/>
      <c r="K403" s="429"/>
      <c r="L403" s="383"/>
      <c r="M403" s="383" t="s">
        <v>379</v>
      </c>
      <c r="N403" s="383" t="s">
        <v>323</v>
      </c>
      <c r="O403" s="383" t="s">
        <v>380</v>
      </c>
      <c r="P403" s="383" t="s">
        <v>970</v>
      </c>
      <c r="Q403" s="383"/>
      <c r="R403" s="431">
        <v>970000</v>
      </c>
      <c r="S403" s="158">
        <v>0</v>
      </c>
      <c r="T403" s="158">
        <v>0</v>
      </c>
      <c r="U403" s="158">
        <v>0</v>
      </c>
      <c r="V403" s="158">
        <v>0</v>
      </c>
      <c r="W403" s="158">
        <v>0</v>
      </c>
      <c r="X403" s="158">
        <v>0</v>
      </c>
      <c r="Y403" s="158">
        <v>0</v>
      </c>
      <c r="Z403" s="158">
        <v>0</v>
      </c>
      <c r="AA403" s="432">
        <v>0</v>
      </c>
      <c r="AB403" s="432">
        <v>0</v>
      </c>
      <c r="AC403" s="432">
        <v>0</v>
      </c>
      <c r="AD403" s="432">
        <v>0</v>
      </c>
      <c r="AE403" s="432">
        <v>0</v>
      </c>
      <c r="AF403" s="432">
        <v>0</v>
      </c>
      <c r="AG403" s="432">
        <v>0</v>
      </c>
      <c r="AH403" s="432">
        <v>0</v>
      </c>
      <c r="AI403" s="158">
        <v>970200</v>
      </c>
      <c r="AJ403" s="158">
        <v>0</v>
      </c>
      <c r="AK403" s="158">
        <v>970200</v>
      </c>
      <c r="AL403" s="158">
        <v>970200</v>
      </c>
      <c r="AM403" s="158">
        <v>10440000</v>
      </c>
      <c r="AN403" s="158">
        <v>970200</v>
      </c>
      <c r="AO403" s="158">
        <v>970200</v>
      </c>
      <c r="AP403" s="158">
        <v>970000</v>
      </c>
      <c r="AQ403" s="432">
        <v>0</v>
      </c>
      <c r="AR403" s="432">
        <v>0</v>
      </c>
      <c r="AS403" s="432">
        <v>0</v>
      </c>
      <c r="AT403" s="432">
        <v>0</v>
      </c>
      <c r="AU403" s="432">
        <v>0</v>
      </c>
      <c r="AV403" s="432">
        <v>0</v>
      </c>
      <c r="AW403" s="432">
        <v>0</v>
      </c>
      <c r="AX403" s="432">
        <v>0</v>
      </c>
      <c r="AY403" s="158">
        <v>0</v>
      </c>
      <c r="AZ403" s="158">
        <v>0</v>
      </c>
      <c r="BA403" s="158">
        <v>0</v>
      </c>
      <c r="BB403" s="158">
        <v>0</v>
      </c>
      <c r="BC403" s="158">
        <v>0</v>
      </c>
      <c r="BD403" s="158">
        <v>0</v>
      </c>
      <c r="BE403" s="158">
        <v>0</v>
      </c>
      <c r="BF403" s="160">
        <v>0</v>
      </c>
      <c r="BG403" s="383">
        <v>2023</v>
      </c>
      <c r="BH403" s="383">
        <v>1</v>
      </c>
      <c r="BI403" s="383">
        <v>19</v>
      </c>
      <c r="BK403" s="147" t="str">
        <f>IF(R403=SUM(Z403,AH403,AP403,AX403,BF403),"○","×")</f>
        <v>○</v>
      </c>
    </row>
    <row r="404" spans="1:63" x14ac:dyDescent="0.2">
      <c r="A404" s="428">
        <v>1600</v>
      </c>
      <c r="B404" s="429"/>
      <c r="C404" s="430"/>
      <c r="D404" s="429"/>
      <c r="E404" s="430"/>
      <c r="F404" s="429"/>
      <c r="G404" s="429"/>
      <c r="H404" s="430"/>
      <c r="I404" s="429"/>
      <c r="J404" s="429"/>
      <c r="K404" s="429"/>
      <c r="L404" s="383"/>
      <c r="M404" s="383" t="s">
        <v>512</v>
      </c>
      <c r="N404" s="383" t="s">
        <v>323</v>
      </c>
      <c r="O404" s="383" t="s">
        <v>513</v>
      </c>
      <c r="P404" s="383" t="s">
        <v>970</v>
      </c>
      <c r="Q404" s="383"/>
      <c r="R404" s="431">
        <v>421000</v>
      </c>
      <c r="S404" s="158">
        <v>0</v>
      </c>
      <c r="T404" s="158">
        <v>0</v>
      </c>
      <c r="U404" s="158">
        <v>0</v>
      </c>
      <c r="V404" s="158">
        <v>0</v>
      </c>
      <c r="W404" s="158">
        <v>0</v>
      </c>
      <c r="X404" s="158">
        <v>0</v>
      </c>
      <c r="Y404" s="158">
        <v>0</v>
      </c>
      <c r="Z404" s="158">
        <v>0</v>
      </c>
      <c r="AA404" s="432">
        <v>0</v>
      </c>
      <c r="AB404" s="432">
        <v>0</v>
      </c>
      <c r="AC404" s="432">
        <v>0</v>
      </c>
      <c r="AD404" s="432">
        <v>0</v>
      </c>
      <c r="AE404" s="432">
        <v>0</v>
      </c>
      <c r="AF404" s="432">
        <v>0</v>
      </c>
      <c r="AG404" s="432">
        <v>0</v>
      </c>
      <c r="AH404" s="432">
        <v>0</v>
      </c>
      <c r="AI404" s="158">
        <v>421950</v>
      </c>
      <c r="AJ404" s="158">
        <v>0</v>
      </c>
      <c r="AK404" s="158">
        <v>421950</v>
      </c>
      <c r="AL404" s="158">
        <v>421950</v>
      </c>
      <c r="AM404" s="158">
        <v>1566000</v>
      </c>
      <c r="AN404" s="158">
        <v>421950</v>
      </c>
      <c r="AO404" s="158">
        <v>421950</v>
      </c>
      <c r="AP404" s="158">
        <v>421000</v>
      </c>
      <c r="AQ404" s="432">
        <v>0</v>
      </c>
      <c r="AR404" s="432">
        <v>0</v>
      </c>
      <c r="AS404" s="432">
        <v>0</v>
      </c>
      <c r="AT404" s="432">
        <v>0</v>
      </c>
      <c r="AU404" s="432">
        <v>0</v>
      </c>
      <c r="AV404" s="432">
        <v>0</v>
      </c>
      <c r="AW404" s="432">
        <v>0</v>
      </c>
      <c r="AX404" s="432">
        <v>0</v>
      </c>
      <c r="AY404" s="158">
        <v>0</v>
      </c>
      <c r="AZ404" s="158">
        <v>0</v>
      </c>
      <c r="BA404" s="158">
        <v>0</v>
      </c>
      <c r="BB404" s="158">
        <v>0</v>
      </c>
      <c r="BC404" s="158">
        <v>0</v>
      </c>
      <c r="BD404" s="158">
        <v>0</v>
      </c>
      <c r="BE404" s="158">
        <v>0</v>
      </c>
      <c r="BF404" s="160">
        <v>0</v>
      </c>
      <c r="BG404" s="383">
        <v>2023</v>
      </c>
      <c r="BH404" s="383">
        <v>1</v>
      </c>
      <c r="BI404" s="383">
        <v>19</v>
      </c>
      <c r="BK404" s="147" t="str">
        <f>IF(R404=SUM(Z404,AH404,AP404,AX404,BF404),"○","×")</f>
        <v>○</v>
      </c>
    </row>
    <row r="405" spans="1:63" x14ac:dyDescent="0.2">
      <c r="A405" s="428">
        <v>1601</v>
      </c>
      <c r="B405" s="429"/>
      <c r="C405" s="430"/>
      <c r="D405" s="429"/>
      <c r="E405" s="430"/>
      <c r="F405" s="429"/>
      <c r="G405" s="429"/>
      <c r="H405" s="430"/>
      <c r="I405" s="429"/>
      <c r="J405" s="429"/>
      <c r="K405" s="429"/>
      <c r="L405" s="383"/>
      <c r="M405" s="383" t="s">
        <v>512</v>
      </c>
      <c r="N405" s="383" t="s">
        <v>323</v>
      </c>
      <c r="O405" s="383" t="s">
        <v>513</v>
      </c>
      <c r="P405" s="383" t="s">
        <v>970</v>
      </c>
      <c r="Q405" s="383"/>
      <c r="R405" s="431">
        <v>8380000</v>
      </c>
      <c r="S405" s="158">
        <v>0</v>
      </c>
      <c r="T405" s="158">
        <v>0</v>
      </c>
      <c r="U405" s="158">
        <v>0</v>
      </c>
      <c r="V405" s="158">
        <v>0</v>
      </c>
      <c r="W405" s="158">
        <v>0</v>
      </c>
      <c r="X405" s="158">
        <v>0</v>
      </c>
      <c r="Y405" s="158">
        <v>0</v>
      </c>
      <c r="Z405" s="158">
        <v>0</v>
      </c>
      <c r="AA405" s="432">
        <v>0</v>
      </c>
      <c r="AB405" s="432">
        <v>0</v>
      </c>
      <c r="AC405" s="432">
        <v>0</v>
      </c>
      <c r="AD405" s="432">
        <v>0</v>
      </c>
      <c r="AE405" s="432">
        <v>0</v>
      </c>
      <c r="AF405" s="432">
        <v>0</v>
      </c>
      <c r="AG405" s="432">
        <v>0</v>
      </c>
      <c r="AH405" s="432">
        <v>0</v>
      </c>
      <c r="AI405" s="158">
        <v>8380494</v>
      </c>
      <c r="AJ405" s="158">
        <v>0</v>
      </c>
      <c r="AK405" s="158">
        <v>8380494</v>
      </c>
      <c r="AL405" s="158">
        <v>8380494</v>
      </c>
      <c r="AM405" s="158">
        <v>14414400</v>
      </c>
      <c r="AN405" s="158">
        <v>8380494</v>
      </c>
      <c r="AO405" s="158">
        <v>8380494</v>
      </c>
      <c r="AP405" s="158">
        <v>8380000</v>
      </c>
      <c r="AQ405" s="432">
        <v>0</v>
      </c>
      <c r="AR405" s="432">
        <v>0</v>
      </c>
      <c r="AS405" s="432">
        <v>0</v>
      </c>
      <c r="AT405" s="432">
        <v>0</v>
      </c>
      <c r="AU405" s="432">
        <v>0</v>
      </c>
      <c r="AV405" s="432">
        <v>0</v>
      </c>
      <c r="AW405" s="432">
        <v>0</v>
      </c>
      <c r="AX405" s="432">
        <v>0</v>
      </c>
      <c r="AY405" s="158">
        <v>0</v>
      </c>
      <c r="AZ405" s="158">
        <v>0</v>
      </c>
      <c r="BA405" s="158">
        <v>0</v>
      </c>
      <c r="BB405" s="158">
        <v>0</v>
      </c>
      <c r="BC405" s="158">
        <v>0</v>
      </c>
      <c r="BD405" s="158">
        <v>0</v>
      </c>
      <c r="BE405" s="158">
        <v>0</v>
      </c>
      <c r="BF405" s="160">
        <v>0</v>
      </c>
      <c r="BG405" s="383">
        <v>2023</v>
      </c>
      <c r="BH405" s="383">
        <v>1</v>
      </c>
      <c r="BI405" s="383">
        <v>19</v>
      </c>
      <c r="BK405" s="147" t="str">
        <f>IF(R405=SUM(Z405,AH405,AP405,AX405,BF405),"○","×")</f>
        <v>○</v>
      </c>
    </row>
    <row r="406" spans="1:63" x14ac:dyDescent="0.2">
      <c r="A406" s="387">
        <v>1602</v>
      </c>
      <c r="K406" s="395"/>
      <c r="L406" s="436"/>
      <c r="M406" s="436" t="s">
        <v>555</v>
      </c>
      <c r="N406" s="436" t="s">
        <v>329</v>
      </c>
      <c r="O406" s="436" t="s">
        <v>418</v>
      </c>
      <c r="P406" s="436" t="s">
        <v>970</v>
      </c>
      <c r="Q406" s="146"/>
      <c r="R406" s="157">
        <v>380000</v>
      </c>
      <c r="S406" s="158">
        <v>0</v>
      </c>
      <c r="T406" s="158">
        <v>0</v>
      </c>
      <c r="U406" s="158">
        <v>0</v>
      </c>
      <c r="V406" s="158">
        <v>0</v>
      </c>
      <c r="W406" s="158">
        <v>0</v>
      </c>
      <c r="X406" s="158">
        <v>0</v>
      </c>
      <c r="Y406" s="158">
        <v>0</v>
      </c>
      <c r="Z406" s="158">
        <v>0</v>
      </c>
      <c r="AA406" s="159">
        <v>0</v>
      </c>
      <c r="AB406" s="159">
        <v>0</v>
      </c>
      <c r="AC406" s="159">
        <v>0</v>
      </c>
      <c r="AD406" s="159">
        <v>0</v>
      </c>
      <c r="AE406" s="159">
        <v>0</v>
      </c>
      <c r="AF406" s="159">
        <v>0</v>
      </c>
      <c r="AG406" s="159">
        <v>0</v>
      </c>
      <c r="AH406" s="159">
        <v>0</v>
      </c>
      <c r="AI406" s="158">
        <v>380260</v>
      </c>
      <c r="AJ406" s="158">
        <v>0</v>
      </c>
      <c r="AK406" s="158">
        <v>380260</v>
      </c>
      <c r="AL406" s="158">
        <v>380260</v>
      </c>
      <c r="AM406" s="158">
        <v>972000</v>
      </c>
      <c r="AN406" s="158">
        <v>380260</v>
      </c>
      <c r="AO406" s="158">
        <v>380260</v>
      </c>
      <c r="AP406" s="158">
        <v>380000</v>
      </c>
      <c r="AQ406" s="159">
        <v>0</v>
      </c>
      <c r="AR406" s="159">
        <v>0</v>
      </c>
      <c r="AS406" s="159">
        <v>0</v>
      </c>
      <c r="AT406" s="159">
        <v>0</v>
      </c>
      <c r="AU406" s="159">
        <v>0</v>
      </c>
      <c r="AV406" s="159">
        <v>0</v>
      </c>
      <c r="AW406" s="159">
        <v>0</v>
      </c>
      <c r="AX406" s="159">
        <v>0</v>
      </c>
      <c r="AY406" s="158">
        <v>0</v>
      </c>
      <c r="AZ406" s="158">
        <v>0</v>
      </c>
      <c r="BA406" s="158">
        <v>0</v>
      </c>
      <c r="BB406" s="158">
        <v>0</v>
      </c>
      <c r="BC406" s="158">
        <v>0</v>
      </c>
      <c r="BD406" s="158">
        <v>0</v>
      </c>
      <c r="BE406" s="158">
        <v>0</v>
      </c>
      <c r="BF406" s="160">
        <v>0</v>
      </c>
      <c r="BG406" s="436">
        <v>2023</v>
      </c>
      <c r="BH406" s="436">
        <v>3</v>
      </c>
      <c r="BI406" s="436">
        <v>30</v>
      </c>
      <c r="BJ406" s="152"/>
      <c r="BK406" s="152"/>
    </row>
    <row r="407" spans="1:63" x14ac:dyDescent="0.2">
      <c r="A407" s="428">
        <v>1603</v>
      </c>
      <c r="B407" s="429"/>
      <c r="C407" s="430"/>
      <c r="D407" s="429"/>
      <c r="E407" s="430"/>
      <c r="F407" s="429"/>
      <c r="G407" s="429"/>
      <c r="H407" s="430"/>
      <c r="I407" s="429"/>
      <c r="J407" s="429"/>
      <c r="K407" s="429"/>
      <c r="L407" s="383"/>
      <c r="M407" s="383" t="s">
        <v>826</v>
      </c>
      <c r="N407" s="383" t="s">
        <v>340</v>
      </c>
      <c r="O407" s="383" t="s">
        <v>827</v>
      </c>
      <c r="P407" s="383" t="s">
        <v>970</v>
      </c>
      <c r="Q407" s="383"/>
      <c r="R407" s="431">
        <v>512000</v>
      </c>
      <c r="S407" s="158">
        <v>0</v>
      </c>
      <c r="T407" s="158">
        <v>0</v>
      </c>
      <c r="U407" s="158">
        <v>0</v>
      </c>
      <c r="V407" s="158">
        <v>0</v>
      </c>
      <c r="W407" s="158">
        <v>0</v>
      </c>
      <c r="X407" s="158">
        <v>0</v>
      </c>
      <c r="Y407" s="158">
        <v>0</v>
      </c>
      <c r="Z407" s="158">
        <v>0</v>
      </c>
      <c r="AA407" s="432">
        <v>0</v>
      </c>
      <c r="AB407" s="432">
        <v>0</v>
      </c>
      <c r="AC407" s="432">
        <v>0</v>
      </c>
      <c r="AD407" s="432">
        <v>0</v>
      </c>
      <c r="AE407" s="432">
        <v>0</v>
      </c>
      <c r="AF407" s="432">
        <v>0</v>
      </c>
      <c r="AG407" s="432">
        <v>0</v>
      </c>
      <c r="AH407" s="432">
        <v>0</v>
      </c>
      <c r="AI407" s="158">
        <v>512244</v>
      </c>
      <c r="AJ407" s="158">
        <v>0</v>
      </c>
      <c r="AK407" s="158">
        <v>512244</v>
      </c>
      <c r="AL407" s="158">
        <v>512244</v>
      </c>
      <c r="AM407" s="158">
        <v>1566000</v>
      </c>
      <c r="AN407" s="158">
        <v>512244</v>
      </c>
      <c r="AO407" s="158">
        <v>512244</v>
      </c>
      <c r="AP407" s="158">
        <v>512000</v>
      </c>
      <c r="AQ407" s="432">
        <v>0</v>
      </c>
      <c r="AR407" s="432">
        <v>0</v>
      </c>
      <c r="AS407" s="432">
        <v>0</v>
      </c>
      <c r="AT407" s="432">
        <v>0</v>
      </c>
      <c r="AU407" s="432">
        <v>0</v>
      </c>
      <c r="AV407" s="432">
        <v>0</v>
      </c>
      <c r="AW407" s="432">
        <v>0</v>
      </c>
      <c r="AX407" s="432">
        <v>0</v>
      </c>
      <c r="AY407" s="158">
        <v>0</v>
      </c>
      <c r="AZ407" s="158">
        <v>0</v>
      </c>
      <c r="BA407" s="158">
        <v>0</v>
      </c>
      <c r="BB407" s="158">
        <v>0</v>
      </c>
      <c r="BC407" s="158">
        <v>0</v>
      </c>
      <c r="BD407" s="158">
        <v>0</v>
      </c>
      <c r="BE407" s="158">
        <v>0</v>
      </c>
      <c r="BF407" s="160">
        <v>0</v>
      </c>
      <c r="BG407" s="383">
        <v>2023</v>
      </c>
      <c r="BH407" s="383">
        <v>1</v>
      </c>
      <c r="BI407" s="383">
        <v>19</v>
      </c>
      <c r="BK407" s="147" t="str">
        <f>IF(R407=SUM(Z407,AH407,AP407,AX407,BF407),"○","×")</f>
        <v>○</v>
      </c>
    </row>
    <row r="408" spans="1:63" x14ac:dyDescent="0.2">
      <c r="A408" s="428">
        <v>1604</v>
      </c>
      <c r="B408" s="429"/>
      <c r="C408" s="430"/>
      <c r="D408" s="429"/>
      <c r="E408" s="430"/>
      <c r="F408" s="429"/>
      <c r="G408" s="429"/>
      <c r="H408" s="430"/>
      <c r="I408" s="429"/>
      <c r="J408" s="429"/>
      <c r="K408" s="429"/>
      <c r="L408" s="383"/>
      <c r="M408" s="383" t="s">
        <v>828</v>
      </c>
      <c r="N408" s="383" t="s">
        <v>356</v>
      </c>
      <c r="O408" s="383" t="s">
        <v>454</v>
      </c>
      <c r="P408" s="383" t="s">
        <v>970</v>
      </c>
      <c r="Q408" s="383"/>
      <c r="R408" s="431">
        <v>129000</v>
      </c>
      <c r="S408" s="158">
        <v>0</v>
      </c>
      <c r="T408" s="158">
        <v>0</v>
      </c>
      <c r="U408" s="158">
        <v>0</v>
      </c>
      <c r="V408" s="158">
        <v>0</v>
      </c>
      <c r="W408" s="158">
        <v>0</v>
      </c>
      <c r="X408" s="158">
        <v>0</v>
      </c>
      <c r="Y408" s="158">
        <v>0</v>
      </c>
      <c r="Z408" s="158">
        <v>0</v>
      </c>
      <c r="AA408" s="432">
        <v>0</v>
      </c>
      <c r="AB408" s="432">
        <v>0</v>
      </c>
      <c r="AC408" s="432">
        <v>0</v>
      </c>
      <c r="AD408" s="432">
        <v>0</v>
      </c>
      <c r="AE408" s="432">
        <v>0</v>
      </c>
      <c r="AF408" s="432">
        <v>0</v>
      </c>
      <c r="AG408" s="432">
        <v>0</v>
      </c>
      <c r="AH408" s="432">
        <v>0</v>
      </c>
      <c r="AI408" s="158">
        <v>129450</v>
      </c>
      <c r="AJ408" s="158">
        <v>0</v>
      </c>
      <c r="AK408" s="158">
        <v>129450</v>
      </c>
      <c r="AL408" s="158">
        <v>129450</v>
      </c>
      <c r="AM408" s="158">
        <v>6177600</v>
      </c>
      <c r="AN408" s="158">
        <v>129450</v>
      </c>
      <c r="AO408" s="158">
        <v>129450</v>
      </c>
      <c r="AP408" s="158">
        <v>129000</v>
      </c>
      <c r="AQ408" s="432">
        <v>0</v>
      </c>
      <c r="AR408" s="432">
        <v>0</v>
      </c>
      <c r="AS408" s="432">
        <v>0</v>
      </c>
      <c r="AT408" s="432">
        <v>0</v>
      </c>
      <c r="AU408" s="432">
        <v>0</v>
      </c>
      <c r="AV408" s="432">
        <v>0</v>
      </c>
      <c r="AW408" s="432">
        <v>0</v>
      </c>
      <c r="AX408" s="432">
        <v>0</v>
      </c>
      <c r="AY408" s="158">
        <v>0</v>
      </c>
      <c r="AZ408" s="158">
        <v>0</v>
      </c>
      <c r="BA408" s="158">
        <v>0</v>
      </c>
      <c r="BB408" s="158">
        <v>0</v>
      </c>
      <c r="BC408" s="158">
        <v>0</v>
      </c>
      <c r="BD408" s="158">
        <v>0</v>
      </c>
      <c r="BE408" s="158">
        <v>0</v>
      </c>
      <c r="BF408" s="160">
        <v>0</v>
      </c>
      <c r="BG408" s="383">
        <v>2023</v>
      </c>
      <c r="BH408" s="383">
        <v>1</v>
      </c>
      <c r="BI408" s="383">
        <v>19</v>
      </c>
      <c r="BK408" s="147" t="str">
        <f>IF(R408=SUM(Z408,AH408,AP408,AX408,BF408),"○","×")</f>
        <v>○</v>
      </c>
    </row>
    <row r="409" spans="1:63" x14ac:dyDescent="0.2">
      <c r="A409" s="428">
        <v>1605</v>
      </c>
      <c r="B409" s="429"/>
      <c r="C409" s="430"/>
      <c r="D409" s="429"/>
      <c r="E409" s="430"/>
      <c r="F409" s="429"/>
      <c r="G409" s="429"/>
      <c r="H409" s="430"/>
      <c r="I409" s="429"/>
      <c r="J409" s="429"/>
      <c r="K409" s="429"/>
      <c r="L409" s="383"/>
      <c r="M409" s="383" t="s">
        <v>829</v>
      </c>
      <c r="N409" s="383" t="s">
        <v>408</v>
      </c>
      <c r="O409" s="383" t="s">
        <v>454</v>
      </c>
      <c r="P409" s="383" t="s">
        <v>970</v>
      </c>
      <c r="Q409" s="383"/>
      <c r="R409" s="431">
        <v>406000</v>
      </c>
      <c r="S409" s="158">
        <v>0</v>
      </c>
      <c r="T409" s="158">
        <v>0</v>
      </c>
      <c r="U409" s="158">
        <v>0</v>
      </c>
      <c r="V409" s="158">
        <v>0</v>
      </c>
      <c r="W409" s="158">
        <v>0</v>
      </c>
      <c r="X409" s="158">
        <v>0</v>
      </c>
      <c r="Y409" s="158">
        <v>0</v>
      </c>
      <c r="Z409" s="158">
        <v>0</v>
      </c>
      <c r="AA409" s="432">
        <v>0</v>
      </c>
      <c r="AB409" s="432">
        <v>0</v>
      </c>
      <c r="AC409" s="432">
        <v>0</v>
      </c>
      <c r="AD409" s="432">
        <v>0</v>
      </c>
      <c r="AE409" s="432">
        <v>0</v>
      </c>
      <c r="AF409" s="432">
        <v>0</v>
      </c>
      <c r="AG409" s="432">
        <v>0</v>
      </c>
      <c r="AH409" s="432">
        <v>0</v>
      </c>
      <c r="AI409" s="158">
        <v>406465</v>
      </c>
      <c r="AJ409" s="158">
        <v>0</v>
      </c>
      <c r="AK409" s="158">
        <v>406465</v>
      </c>
      <c r="AL409" s="158">
        <v>406465</v>
      </c>
      <c r="AM409" s="158">
        <v>1749600</v>
      </c>
      <c r="AN409" s="158">
        <v>406465</v>
      </c>
      <c r="AO409" s="158">
        <v>406465</v>
      </c>
      <c r="AP409" s="158">
        <v>406000</v>
      </c>
      <c r="AQ409" s="432">
        <v>0</v>
      </c>
      <c r="AR409" s="432">
        <v>0</v>
      </c>
      <c r="AS409" s="432">
        <v>0</v>
      </c>
      <c r="AT409" s="432">
        <v>0</v>
      </c>
      <c r="AU409" s="432">
        <v>0</v>
      </c>
      <c r="AV409" s="432">
        <v>0</v>
      </c>
      <c r="AW409" s="432">
        <v>0</v>
      </c>
      <c r="AX409" s="432">
        <v>0</v>
      </c>
      <c r="AY409" s="158">
        <v>0</v>
      </c>
      <c r="AZ409" s="158">
        <v>0</v>
      </c>
      <c r="BA409" s="158">
        <v>0</v>
      </c>
      <c r="BB409" s="158">
        <v>0</v>
      </c>
      <c r="BC409" s="158">
        <v>0</v>
      </c>
      <c r="BD409" s="158">
        <v>0</v>
      </c>
      <c r="BE409" s="158">
        <v>0</v>
      </c>
      <c r="BF409" s="160">
        <v>0</v>
      </c>
      <c r="BG409" s="383">
        <v>2023</v>
      </c>
      <c r="BH409" s="383">
        <v>1</v>
      </c>
      <c r="BI409" s="383">
        <v>19</v>
      </c>
      <c r="BK409" s="147" t="str">
        <f>IF(R409=SUM(Z409,AH409,AP409,AX409,BF409),"○","×")</f>
        <v>○</v>
      </c>
    </row>
    <row r="410" spans="1:63" x14ac:dyDescent="0.2">
      <c r="A410" s="428">
        <v>1606</v>
      </c>
      <c r="B410" s="429"/>
      <c r="C410" s="430"/>
      <c r="D410" s="429"/>
      <c r="E410" s="430"/>
      <c r="F410" s="429"/>
      <c r="G410" s="429"/>
      <c r="H410" s="430"/>
      <c r="I410" s="429"/>
      <c r="J410" s="429"/>
      <c r="K410" s="429"/>
      <c r="L410" s="383"/>
      <c r="M410" s="383" t="s">
        <v>512</v>
      </c>
      <c r="N410" s="383" t="s">
        <v>323</v>
      </c>
      <c r="O410" s="383" t="s">
        <v>513</v>
      </c>
      <c r="P410" s="383" t="s">
        <v>970</v>
      </c>
      <c r="Q410" s="383"/>
      <c r="R410" s="431">
        <v>536000</v>
      </c>
      <c r="S410" s="158">
        <v>0</v>
      </c>
      <c r="T410" s="158">
        <v>0</v>
      </c>
      <c r="U410" s="158">
        <v>0</v>
      </c>
      <c r="V410" s="158">
        <v>0</v>
      </c>
      <c r="W410" s="158">
        <v>0</v>
      </c>
      <c r="X410" s="158">
        <v>0</v>
      </c>
      <c r="Y410" s="158">
        <v>0</v>
      </c>
      <c r="Z410" s="158">
        <v>0</v>
      </c>
      <c r="AA410" s="432">
        <v>0</v>
      </c>
      <c r="AB410" s="432">
        <v>0</v>
      </c>
      <c r="AC410" s="432">
        <v>0</v>
      </c>
      <c r="AD410" s="432">
        <v>0</v>
      </c>
      <c r="AE410" s="432">
        <v>0</v>
      </c>
      <c r="AF410" s="432">
        <v>0</v>
      </c>
      <c r="AG410" s="432">
        <v>0</v>
      </c>
      <c r="AH410" s="432">
        <v>0</v>
      </c>
      <c r="AI410" s="158">
        <v>536600</v>
      </c>
      <c r="AJ410" s="158">
        <v>0</v>
      </c>
      <c r="AK410" s="158">
        <v>536600</v>
      </c>
      <c r="AL410" s="158">
        <v>536600</v>
      </c>
      <c r="AM410" s="158">
        <v>1566000</v>
      </c>
      <c r="AN410" s="158">
        <v>536600</v>
      </c>
      <c r="AO410" s="158">
        <v>536600</v>
      </c>
      <c r="AP410" s="158">
        <v>536000</v>
      </c>
      <c r="AQ410" s="432">
        <v>0</v>
      </c>
      <c r="AR410" s="432">
        <v>0</v>
      </c>
      <c r="AS410" s="432">
        <v>0</v>
      </c>
      <c r="AT410" s="432">
        <v>0</v>
      </c>
      <c r="AU410" s="432">
        <v>0</v>
      </c>
      <c r="AV410" s="432">
        <v>0</v>
      </c>
      <c r="AW410" s="432">
        <v>0</v>
      </c>
      <c r="AX410" s="432">
        <v>0</v>
      </c>
      <c r="AY410" s="158">
        <v>0</v>
      </c>
      <c r="AZ410" s="158">
        <v>0</v>
      </c>
      <c r="BA410" s="158">
        <v>0</v>
      </c>
      <c r="BB410" s="158">
        <v>0</v>
      </c>
      <c r="BC410" s="158">
        <v>0</v>
      </c>
      <c r="BD410" s="158">
        <v>0</v>
      </c>
      <c r="BE410" s="158">
        <v>0</v>
      </c>
      <c r="BF410" s="160">
        <v>0</v>
      </c>
      <c r="BG410" s="383">
        <v>2023</v>
      </c>
      <c r="BH410" s="383">
        <v>1</v>
      </c>
      <c r="BI410" s="383">
        <v>19</v>
      </c>
      <c r="BK410" s="147" t="str">
        <f>IF(R410=SUM(Z410,AH410,AP410,AX410,BF410),"○","×")</f>
        <v>○</v>
      </c>
    </row>
    <row r="411" spans="1:63" x14ac:dyDescent="0.2">
      <c r="A411" s="428">
        <v>1607</v>
      </c>
      <c r="B411" s="429"/>
      <c r="C411" s="430"/>
      <c r="D411" s="429"/>
      <c r="E411" s="430"/>
      <c r="F411" s="429"/>
      <c r="G411" s="429"/>
      <c r="H411" s="430"/>
      <c r="I411" s="429"/>
      <c r="J411" s="429"/>
      <c r="K411" s="429"/>
      <c r="L411" s="383"/>
      <c r="M411" s="383">
        <v>1559023</v>
      </c>
      <c r="N411" s="383" t="s">
        <v>332</v>
      </c>
      <c r="O411" s="383" t="s">
        <v>830</v>
      </c>
      <c r="P411" s="383" t="s">
        <v>970</v>
      </c>
      <c r="Q411" s="383"/>
      <c r="R411" s="431">
        <v>380000</v>
      </c>
      <c r="S411" s="158">
        <v>0</v>
      </c>
      <c r="T411" s="158">
        <v>0</v>
      </c>
      <c r="U411" s="158">
        <v>0</v>
      </c>
      <c r="V411" s="158">
        <v>0</v>
      </c>
      <c r="W411" s="158">
        <v>0</v>
      </c>
      <c r="X411" s="158">
        <v>0</v>
      </c>
      <c r="Y411" s="158">
        <v>0</v>
      </c>
      <c r="Z411" s="158">
        <v>0</v>
      </c>
      <c r="AA411" s="432">
        <v>0</v>
      </c>
      <c r="AB411" s="432">
        <v>0</v>
      </c>
      <c r="AC411" s="432">
        <v>0</v>
      </c>
      <c r="AD411" s="432">
        <v>0</v>
      </c>
      <c r="AE411" s="432">
        <v>0</v>
      </c>
      <c r="AF411" s="432">
        <v>0</v>
      </c>
      <c r="AG411" s="432">
        <v>0</v>
      </c>
      <c r="AH411" s="432">
        <v>0</v>
      </c>
      <c r="AI411" s="158">
        <v>380800</v>
      </c>
      <c r="AJ411" s="158">
        <v>0</v>
      </c>
      <c r="AK411" s="158">
        <v>380800</v>
      </c>
      <c r="AL411" s="158">
        <v>380800</v>
      </c>
      <c r="AM411" s="158">
        <v>1652400</v>
      </c>
      <c r="AN411" s="158">
        <v>380800</v>
      </c>
      <c r="AO411" s="158">
        <v>380800</v>
      </c>
      <c r="AP411" s="158">
        <v>380000</v>
      </c>
      <c r="AQ411" s="432">
        <v>0</v>
      </c>
      <c r="AR411" s="432">
        <v>0</v>
      </c>
      <c r="AS411" s="432">
        <v>0</v>
      </c>
      <c r="AT411" s="432">
        <v>0</v>
      </c>
      <c r="AU411" s="432">
        <v>0</v>
      </c>
      <c r="AV411" s="432">
        <v>0</v>
      </c>
      <c r="AW411" s="432">
        <v>0</v>
      </c>
      <c r="AX411" s="432">
        <v>0</v>
      </c>
      <c r="AY411" s="158">
        <v>0</v>
      </c>
      <c r="AZ411" s="158">
        <v>0</v>
      </c>
      <c r="BA411" s="158">
        <v>0</v>
      </c>
      <c r="BB411" s="158">
        <v>0</v>
      </c>
      <c r="BC411" s="158">
        <v>0</v>
      </c>
      <c r="BD411" s="158">
        <v>0</v>
      </c>
      <c r="BE411" s="158">
        <v>0</v>
      </c>
      <c r="BF411" s="160">
        <v>0</v>
      </c>
      <c r="BG411" s="383">
        <v>2023</v>
      </c>
      <c r="BH411" s="383">
        <v>1</v>
      </c>
      <c r="BI411" s="383">
        <v>19</v>
      </c>
      <c r="BK411" s="147" t="str">
        <f>IF(R411=SUM(Z411,AH411,AP411,AX411,BF411),"○","×")</f>
        <v>○</v>
      </c>
    </row>
    <row r="412" spans="1:63" x14ac:dyDescent="0.2">
      <c r="A412" s="428">
        <v>1608</v>
      </c>
      <c r="B412" s="429"/>
      <c r="C412" s="430"/>
      <c r="D412" s="429"/>
      <c r="E412" s="430"/>
      <c r="F412" s="429"/>
      <c r="G412" s="429"/>
      <c r="H412" s="430"/>
      <c r="I412" s="429"/>
      <c r="J412" s="429"/>
      <c r="K412" s="429"/>
      <c r="L412" s="383"/>
      <c r="M412" s="383" t="s">
        <v>322</v>
      </c>
      <c r="N412" s="383" t="s">
        <v>323</v>
      </c>
      <c r="O412" s="383" t="s">
        <v>324</v>
      </c>
      <c r="P412" s="383" t="s">
        <v>970</v>
      </c>
      <c r="Q412" s="383"/>
      <c r="R412" s="431">
        <v>84000</v>
      </c>
      <c r="S412" s="158">
        <v>0</v>
      </c>
      <c r="T412" s="158">
        <v>0</v>
      </c>
      <c r="U412" s="158">
        <v>0</v>
      </c>
      <c r="V412" s="158">
        <v>0</v>
      </c>
      <c r="W412" s="158">
        <v>0</v>
      </c>
      <c r="X412" s="158">
        <v>0</v>
      </c>
      <c r="Y412" s="158">
        <v>0</v>
      </c>
      <c r="Z412" s="158">
        <v>0</v>
      </c>
      <c r="AA412" s="432">
        <v>0</v>
      </c>
      <c r="AB412" s="432">
        <v>0</v>
      </c>
      <c r="AC412" s="432">
        <v>0</v>
      </c>
      <c r="AD412" s="432">
        <v>0</v>
      </c>
      <c r="AE412" s="432">
        <v>0</v>
      </c>
      <c r="AF412" s="432">
        <v>0</v>
      </c>
      <c r="AG412" s="432">
        <v>0</v>
      </c>
      <c r="AH412" s="432">
        <v>0</v>
      </c>
      <c r="AI412" s="158">
        <v>84552</v>
      </c>
      <c r="AJ412" s="158">
        <v>0</v>
      </c>
      <c r="AK412" s="158">
        <v>84552</v>
      </c>
      <c r="AL412" s="158">
        <v>84552</v>
      </c>
      <c r="AM412" s="158">
        <v>1728000</v>
      </c>
      <c r="AN412" s="158">
        <v>84552</v>
      </c>
      <c r="AO412" s="158">
        <v>84552</v>
      </c>
      <c r="AP412" s="158">
        <v>84000</v>
      </c>
      <c r="AQ412" s="432">
        <v>0</v>
      </c>
      <c r="AR412" s="432">
        <v>0</v>
      </c>
      <c r="AS412" s="432">
        <v>0</v>
      </c>
      <c r="AT412" s="432">
        <v>0</v>
      </c>
      <c r="AU412" s="432">
        <v>0</v>
      </c>
      <c r="AV412" s="432">
        <v>0</v>
      </c>
      <c r="AW412" s="432">
        <v>0</v>
      </c>
      <c r="AX412" s="432">
        <v>0</v>
      </c>
      <c r="AY412" s="158">
        <v>0</v>
      </c>
      <c r="AZ412" s="158">
        <v>0</v>
      </c>
      <c r="BA412" s="158">
        <v>0</v>
      </c>
      <c r="BB412" s="158">
        <v>0</v>
      </c>
      <c r="BC412" s="158">
        <v>0</v>
      </c>
      <c r="BD412" s="158">
        <v>0</v>
      </c>
      <c r="BE412" s="158">
        <v>0</v>
      </c>
      <c r="BF412" s="160">
        <v>0</v>
      </c>
      <c r="BG412" s="383">
        <v>2023</v>
      </c>
      <c r="BH412" s="383">
        <v>1</v>
      </c>
      <c r="BI412" s="383">
        <v>19</v>
      </c>
      <c r="BK412" s="147" t="str">
        <f>IF(R412=SUM(Z412,AH412,AP412,AX412,BF412),"○","×")</f>
        <v>○</v>
      </c>
    </row>
    <row r="413" spans="1:63" x14ac:dyDescent="0.2">
      <c r="A413" s="428">
        <v>1609</v>
      </c>
      <c r="B413" s="429"/>
      <c r="C413" s="430"/>
      <c r="D413" s="429"/>
      <c r="E413" s="430"/>
      <c r="F413" s="429"/>
      <c r="G413" s="429"/>
      <c r="H413" s="430"/>
      <c r="I413" s="429"/>
      <c r="J413" s="429"/>
      <c r="K413" s="429"/>
      <c r="L413" s="383"/>
      <c r="M413" s="383" t="s">
        <v>750</v>
      </c>
      <c r="N413" s="383" t="s">
        <v>323</v>
      </c>
      <c r="O413" s="383" t="s">
        <v>486</v>
      </c>
      <c r="P413" s="383" t="s">
        <v>970</v>
      </c>
      <c r="Q413" s="383"/>
      <c r="R413" s="431">
        <v>198000</v>
      </c>
      <c r="S413" s="158">
        <v>0</v>
      </c>
      <c r="T413" s="158">
        <v>0</v>
      </c>
      <c r="U413" s="158">
        <v>0</v>
      </c>
      <c r="V413" s="158">
        <v>0</v>
      </c>
      <c r="W413" s="158">
        <v>0</v>
      </c>
      <c r="X413" s="158">
        <v>0</v>
      </c>
      <c r="Y413" s="158">
        <v>0</v>
      </c>
      <c r="Z413" s="158">
        <v>0</v>
      </c>
      <c r="AA413" s="432">
        <v>0</v>
      </c>
      <c r="AB413" s="432">
        <v>0</v>
      </c>
      <c r="AC413" s="432">
        <v>0</v>
      </c>
      <c r="AD413" s="432">
        <v>0</v>
      </c>
      <c r="AE413" s="432">
        <v>0</v>
      </c>
      <c r="AF413" s="432">
        <v>0</v>
      </c>
      <c r="AG413" s="432">
        <v>0</v>
      </c>
      <c r="AH413" s="432">
        <v>0</v>
      </c>
      <c r="AI413" s="158">
        <v>198000</v>
      </c>
      <c r="AJ413" s="158">
        <v>0</v>
      </c>
      <c r="AK413" s="158">
        <v>198000</v>
      </c>
      <c r="AL413" s="158">
        <v>198000</v>
      </c>
      <c r="AM413" s="158">
        <v>8640000</v>
      </c>
      <c r="AN413" s="158">
        <v>198000</v>
      </c>
      <c r="AO413" s="158">
        <v>198000</v>
      </c>
      <c r="AP413" s="158">
        <v>198000</v>
      </c>
      <c r="AQ413" s="432">
        <v>0</v>
      </c>
      <c r="AR413" s="432">
        <v>0</v>
      </c>
      <c r="AS413" s="432">
        <v>0</v>
      </c>
      <c r="AT413" s="432">
        <v>0</v>
      </c>
      <c r="AU413" s="432">
        <v>0</v>
      </c>
      <c r="AV413" s="432">
        <v>0</v>
      </c>
      <c r="AW413" s="432">
        <v>0</v>
      </c>
      <c r="AX413" s="432">
        <v>0</v>
      </c>
      <c r="AY413" s="158">
        <v>0</v>
      </c>
      <c r="AZ413" s="158">
        <v>0</v>
      </c>
      <c r="BA413" s="158">
        <v>0</v>
      </c>
      <c r="BB413" s="158">
        <v>0</v>
      </c>
      <c r="BC413" s="158">
        <v>0</v>
      </c>
      <c r="BD413" s="158">
        <v>0</v>
      </c>
      <c r="BE413" s="158">
        <v>0</v>
      </c>
      <c r="BF413" s="160">
        <v>0</v>
      </c>
      <c r="BG413" s="383">
        <v>2023</v>
      </c>
      <c r="BH413" s="383">
        <v>1</v>
      </c>
      <c r="BI413" s="383">
        <v>19</v>
      </c>
      <c r="BK413" s="147" t="str">
        <f>IF(R413=SUM(Z413,AH413,AP413,AX413,BF413),"○","×")</f>
        <v>○</v>
      </c>
    </row>
    <row r="414" spans="1:63" x14ac:dyDescent="0.2">
      <c r="A414" s="428">
        <v>1610</v>
      </c>
      <c r="B414" s="429"/>
      <c r="C414" s="430"/>
      <c r="D414" s="429"/>
      <c r="E414" s="430"/>
      <c r="F414" s="429"/>
      <c r="G414" s="429"/>
      <c r="H414" s="430"/>
      <c r="I414" s="429"/>
      <c r="J414" s="429"/>
      <c r="K414" s="429"/>
      <c r="L414" s="383"/>
      <c r="M414" s="383" t="s">
        <v>831</v>
      </c>
      <c r="N414" s="383" t="s">
        <v>329</v>
      </c>
      <c r="O414" s="383" t="s">
        <v>804</v>
      </c>
      <c r="P414" s="383" t="s">
        <v>970</v>
      </c>
      <c r="Q414" s="383"/>
      <c r="R414" s="431">
        <v>195000</v>
      </c>
      <c r="S414" s="158">
        <v>0</v>
      </c>
      <c r="T414" s="158">
        <v>0</v>
      </c>
      <c r="U414" s="158">
        <v>0</v>
      </c>
      <c r="V414" s="158">
        <v>0</v>
      </c>
      <c r="W414" s="158">
        <v>0</v>
      </c>
      <c r="X414" s="158">
        <v>0</v>
      </c>
      <c r="Y414" s="158">
        <v>0</v>
      </c>
      <c r="Z414" s="158">
        <v>0</v>
      </c>
      <c r="AA414" s="432">
        <v>0</v>
      </c>
      <c r="AB414" s="432">
        <v>0</v>
      </c>
      <c r="AC414" s="432">
        <v>0</v>
      </c>
      <c r="AD414" s="432">
        <v>0</v>
      </c>
      <c r="AE414" s="432">
        <v>0</v>
      </c>
      <c r="AF414" s="432">
        <v>0</v>
      </c>
      <c r="AG414" s="432">
        <v>0</v>
      </c>
      <c r="AH414" s="432">
        <v>0</v>
      </c>
      <c r="AI414" s="158">
        <v>195250</v>
      </c>
      <c r="AJ414" s="158">
        <v>0</v>
      </c>
      <c r="AK414" s="158">
        <v>195250</v>
      </c>
      <c r="AL414" s="158">
        <v>195250</v>
      </c>
      <c r="AM414" s="158">
        <v>1440000</v>
      </c>
      <c r="AN414" s="158">
        <v>195250</v>
      </c>
      <c r="AO414" s="158">
        <v>195250</v>
      </c>
      <c r="AP414" s="158">
        <v>195000</v>
      </c>
      <c r="AQ414" s="432">
        <v>0</v>
      </c>
      <c r="AR414" s="432">
        <v>0</v>
      </c>
      <c r="AS414" s="432">
        <v>0</v>
      </c>
      <c r="AT414" s="432">
        <v>0</v>
      </c>
      <c r="AU414" s="432">
        <v>0</v>
      </c>
      <c r="AV414" s="432">
        <v>0</v>
      </c>
      <c r="AW414" s="432">
        <v>0</v>
      </c>
      <c r="AX414" s="432">
        <v>0</v>
      </c>
      <c r="AY414" s="158">
        <v>0</v>
      </c>
      <c r="AZ414" s="158">
        <v>0</v>
      </c>
      <c r="BA414" s="158">
        <v>0</v>
      </c>
      <c r="BB414" s="158">
        <v>0</v>
      </c>
      <c r="BC414" s="158">
        <v>0</v>
      </c>
      <c r="BD414" s="158">
        <v>0</v>
      </c>
      <c r="BE414" s="158">
        <v>0</v>
      </c>
      <c r="BF414" s="160">
        <v>0</v>
      </c>
      <c r="BG414" s="383">
        <v>2023</v>
      </c>
      <c r="BH414" s="383">
        <v>1</v>
      </c>
      <c r="BI414" s="383">
        <v>19</v>
      </c>
      <c r="BK414" s="147" t="str">
        <f>IF(R414=SUM(Z414,AH414,AP414,AX414,BF414),"○","×")</f>
        <v>○</v>
      </c>
    </row>
    <row r="415" spans="1:63" x14ac:dyDescent="0.2">
      <c r="A415" s="428">
        <v>1611</v>
      </c>
      <c r="B415" s="429"/>
      <c r="C415" s="430"/>
      <c r="D415" s="429"/>
      <c r="E415" s="430"/>
      <c r="F415" s="429"/>
      <c r="G415" s="429"/>
      <c r="H415" s="430"/>
      <c r="I415" s="429"/>
      <c r="J415" s="429"/>
      <c r="K415" s="429"/>
      <c r="L415" s="383"/>
      <c r="M415" s="383" t="s">
        <v>832</v>
      </c>
      <c r="N415" s="383" t="s">
        <v>329</v>
      </c>
      <c r="O415" s="383" t="s">
        <v>395</v>
      </c>
      <c r="P415" s="383" t="s">
        <v>970</v>
      </c>
      <c r="Q415" s="383"/>
      <c r="R415" s="431">
        <v>372000</v>
      </c>
      <c r="S415" s="158">
        <v>0</v>
      </c>
      <c r="T415" s="158">
        <v>0</v>
      </c>
      <c r="U415" s="158">
        <v>0</v>
      </c>
      <c r="V415" s="158">
        <v>0</v>
      </c>
      <c r="W415" s="158">
        <v>0</v>
      </c>
      <c r="X415" s="158">
        <v>0</v>
      </c>
      <c r="Y415" s="158">
        <v>0</v>
      </c>
      <c r="Z415" s="158">
        <v>0</v>
      </c>
      <c r="AA415" s="432">
        <v>0</v>
      </c>
      <c r="AB415" s="432">
        <v>0</v>
      </c>
      <c r="AC415" s="432">
        <v>0</v>
      </c>
      <c r="AD415" s="432">
        <v>0</v>
      </c>
      <c r="AE415" s="432">
        <v>0</v>
      </c>
      <c r="AF415" s="432">
        <v>0</v>
      </c>
      <c r="AG415" s="432">
        <v>0</v>
      </c>
      <c r="AH415" s="432">
        <v>0</v>
      </c>
      <c r="AI415" s="158">
        <v>372520</v>
      </c>
      <c r="AJ415" s="158">
        <v>0</v>
      </c>
      <c r="AK415" s="158">
        <v>372520</v>
      </c>
      <c r="AL415" s="158">
        <v>372520</v>
      </c>
      <c r="AM415" s="158">
        <v>2678400</v>
      </c>
      <c r="AN415" s="158">
        <v>372520</v>
      </c>
      <c r="AO415" s="158">
        <v>372520</v>
      </c>
      <c r="AP415" s="158">
        <v>372000</v>
      </c>
      <c r="AQ415" s="432">
        <v>0</v>
      </c>
      <c r="AR415" s="432">
        <v>0</v>
      </c>
      <c r="AS415" s="432">
        <v>0</v>
      </c>
      <c r="AT415" s="432">
        <v>0</v>
      </c>
      <c r="AU415" s="432">
        <v>0</v>
      </c>
      <c r="AV415" s="432">
        <v>0</v>
      </c>
      <c r="AW415" s="432">
        <v>0</v>
      </c>
      <c r="AX415" s="432">
        <v>0</v>
      </c>
      <c r="AY415" s="158">
        <v>0</v>
      </c>
      <c r="AZ415" s="158">
        <v>0</v>
      </c>
      <c r="BA415" s="158">
        <v>0</v>
      </c>
      <c r="BB415" s="158">
        <v>0</v>
      </c>
      <c r="BC415" s="158">
        <v>0</v>
      </c>
      <c r="BD415" s="158">
        <v>0</v>
      </c>
      <c r="BE415" s="158">
        <v>0</v>
      </c>
      <c r="BF415" s="160">
        <v>0</v>
      </c>
      <c r="BG415" s="383">
        <v>2023</v>
      </c>
      <c r="BH415" s="383">
        <v>1</v>
      </c>
      <c r="BI415" s="383">
        <v>19</v>
      </c>
      <c r="BK415" s="147" t="str">
        <f>IF(R415=SUM(Z415,AH415,AP415,AX415,BF415),"○","×")</f>
        <v>○</v>
      </c>
    </row>
    <row r="416" spans="1:63" x14ac:dyDescent="0.2">
      <c r="A416" s="428">
        <v>1612</v>
      </c>
      <c r="B416" s="429"/>
      <c r="C416" s="430"/>
      <c r="D416" s="429"/>
      <c r="E416" s="430"/>
      <c r="F416" s="429"/>
      <c r="G416" s="429"/>
      <c r="H416" s="430"/>
      <c r="I416" s="429"/>
      <c r="J416" s="429"/>
      <c r="K416" s="429"/>
      <c r="L416" s="383"/>
      <c r="M416" s="383" t="s">
        <v>833</v>
      </c>
      <c r="N416" s="383" t="s">
        <v>323</v>
      </c>
      <c r="O416" s="383" t="s">
        <v>834</v>
      </c>
      <c r="P416" s="383" t="s">
        <v>970</v>
      </c>
      <c r="Q416" s="383"/>
      <c r="R416" s="431">
        <v>320000</v>
      </c>
      <c r="S416" s="158">
        <v>0</v>
      </c>
      <c r="T416" s="158">
        <v>0</v>
      </c>
      <c r="U416" s="158">
        <v>0</v>
      </c>
      <c r="V416" s="158">
        <v>0</v>
      </c>
      <c r="W416" s="158">
        <v>0</v>
      </c>
      <c r="X416" s="158">
        <v>0</v>
      </c>
      <c r="Y416" s="158">
        <v>0</v>
      </c>
      <c r="Z416" s="158">
        <v>0</v>
      </c>
      <c r="AA416" s="432">
        <v>0</v>
      </c>
      <c r="AB416" s="432">
        <v>0</v>
      </c>
      <c r="AC416" s="432">
        <v>0</v>
      </c>
      <c r="AD416" s="432">
        <v>0</v>
      </c>
      <c r="AE416" s="432">
        <v>0</v>
      </c>
      <c r="AF416" s="432">
        <v>0</v>
      </c>
      <c r="AG416" s="432">
        <v>0</v>
      </c>
      <c r="AH416" s="432">
        <v>0</v>
      </c>
      <c r="AI416" s="158">
        <v>320940</v>
      </c>
      <c r="AJ416" s="158">
        <v>0</v>
      </c>
      <c r="AK416" s="158">
        <v>320940</v>
      </c>
      <c r="AL416" s="158">
        <v>320940</v>
      </c>
      <c r="AM416" s="158">
        <v>3132000</v>
      </c>
      <c r="AN416" s="158">
        <v>320940</v>
      </c>
      <c r="AO416" s="158">
        <v>320940</v>
      </c>
      <c r="AP416" s="158">
        <v>320000</v>
      </c>
      <c r="AQ416" s="432">
        <v>0</v>
      </c>
      <c r="AR416" s="432">
        <v>0</v>
      </c>
      <c r="AS416" s="432">
        <v>0</v>
      </c>
      <c r="AT416" s="432">
        <v>0</v>
      </c>
      <c r="AU416" s="432">
        <v>0</v>
      </c>
      <c r="AV416" s="432">
        <v>0</v>
      </c>
      <c r="AW416" s="432">
        <v>0</v>
      </c>
      <c r="AX416" s="432">
        <v>0</v>
      </c>
      <c r="AY416" s="158">
        <v>0</v>
      </c>
      <c r="AZ416" s="158">
        <v>0</v>
      </c>
      <c r="BA416" s="158">
        <v>0</v>
      </c>
      <c r="BB416" s="158">
        <v>0</v>
      </c>
      <c r="BC416" s="158">
        <v>0</v>
      </c>
      <c r="BD416" s="158">
        <v>0</v>
      </c>
      <c r="BE416" s="158">
        <v>0</v>
      </c>
      <c r="BF416" s="160">
        <v>0</v>
      </c>
      <c r="BG416" s="383">
        <v>2023</v>
      </c>
      <c r="BH416" s="383">
        <v>1</v>
      </c>
      <c r="BI416" s="383">
        <v>19</v>
      </c>
      <c r="BK416" s="147" t="str">
        <f>IF(R416=SUM(Z416,AH416,AP416,AX416,BF416),"○","×")</f>
        <v>○</v>
      </c>
    </row>
    <row r="417" spans="1:63" x14ac:dyDescent="0.2">
      <c r="A417" s="428">
        <v>1613</v>
      </c>
      <c r="B417" s="429"/>
      <c r="C417" s="430"/>
      <c r="D417" s="429"/>
      <c r="E417" s="430"/>
      <c r="F417" s="429"/>
      <c r="G417" s="429"/>
      <c r="H417" s="430"/>
      <c r="I417" s="429"/>
      <c r="J417" s="429"/>
      <c r="K417" s="429"/>
      <c r="L417" s="383"/>
      <c r="M417" s="383" t="s">
        <v>835</v>
      </c>
      <c r="N417" s="383" t="s">
        <v>340</v>
      </c>
      <c r="O417" s="383" t="s">
        <v>836</v>
      </c>
      <c r="P417" s="383" t="s">
        <v>970</v>
      </c>
      <c r="Q417" s="383"/>
      <c r="R417" s="431">
        <v>368000</v>
      </c>
      <c r="S417" s="158">
        <v>0</v>
      </c>
      <c r="T417" s="158">
        <v>0</v>
      </c>
      <c r="U417" s="158">
        <v>0</v>
      </c>
      <c r="V417" s="158">
        <v>0</v>
      </c>
      <c r="W417" s="158">
        <v>0</v>
      </c>
      <c r="X417" s="158">
        <v>0</v>
      </c>
      <c r="Y417" s="158">
        <v>0</v>
      </c>
      <c r="Z417" s="158">
        <v>0</v>
      </c>
      <c r="AA417" s="432">
        <v>0</v>
      </c>
      <c r="AB417" s="432">
        <v>0</v>
      </c>
      <c r="AC417" s="432">
        <v>0</v>
      </c>
      <c r="AD417" s="432">
        <v>0</v>
      </c>
      <c r="AE417" s="432">
        <v>0</v>
      </c>
      <c r="AF417" s="432">
        <v>0</v>
      </c>
      <c r="AG417" s="432">
        <v>0</v>
      </c>
      <c r="AH417" s="432">
        <v>0</v>
      </c>
      <c r="AI417" s="158">
        <v>368188</v>
      </c>
      <c r="AJ417" s="158">
        <v>0</v>
      </c>
      <c r="AK417" s="158">
        <v>368188</v>
      </c>
      <c r="AL417" s="158">
        <v>368188</v>
      </c>
      <c r="AM417" s="158">
        <v>4248000</v>
      </c>
      <c r="AN417" s="158">
        <v>368188</v>
      </c>
      <c r="AO417" s="158">
        <v>368188</v>
      </c>
      <c r="AP417" s="158">
        <v>368000</v>
      </c>
      <c r="AQ417" s="432">
        <v>0</v>
      </c>
      <c r="AR417" s="432">
        <v>0</v>
      </c>
      <c r="AS417" s="432">
        <v>0</v>
      </c>
      <c r="AT417" s="432">
        <v>0</v>
      </c>
      <c r="AU417" s="432">
        <v>0</v>
      </c>
      <c r="AV417" s="432">
        <v>0</v>
      </c>
      <c r="AW417" s="432">
        <v>0</v>
      </c>
      <c r="AX417" s="432">
        <v>0</v>
      </c>
      <c r="AY417" s="158">
        <v>0</v>
      </c>
      <c r="AZ417" s="158">
        <v>0</v>
      </c>
      <c r="BA417" s="158">
        <v>0</v>
      </c>
      <c r="BB417" s="158">
        <v>0</v>
      </c>
      <c r="BC417" s="158">
        <v>0</v>
      </c>
      <c r="BD417" s="158">
        <v>0</v>
      </c>
      <c r="BE417" s="158">
        <v>0</v>
      </c>
      <c r="BF417" s="160">
        <v>0</v>
      </c>
      <c r="BG417" s="383">
        <v>2023</v>
      </c>
      <c r="BH417" s="383">
        <v>1</v>
      </c>
      <c r="BI417" s="383">
        <v>19</v>
      </c>
      <c r="BK417" s="147" t="str">
        <f>IF(R417=SUM(Z417,AH417,AP417,AX417,BF417),"○","×")</f>
        <v>○</v>
      </c>
    </row>
    <row r="418" spans="1:63" x14ac:dyDescent="0.2">
      <c r="A418" s="428">
        <v>1614</v>
      </c>
      <c r="B418" s="429"/>
      <c r="C418" s="430"/>
      <c r="D418" s="429"/>
      <c r="E418" s="430"/>
      <c r="F418" s="429"/>
      <c r="G418" s="429"/>
      <c r="H418" s="430"/>
      <c r="I418" s="429"/>
      <c r="J418" s="429"/>
      <c r="K418" s="429"/>
      <c r="L418" s="383"/>
      <c r="M418" s="383" t="s">
        <v>837</v>
      </c>
      <c r="N418" s="383" t="s">
        <v>384</v>
      </c>
      <c r="O418" s="383" t="s">
        <v>838</v>
      </c>
      <c r="P418" s="383" t="s">
        <v>970</v>
      </c>
      <c r="Q418" s="383"/>
      <c r="R418" s="431">
        <v>124000</v>
      </c>
      <c r="S418" s="158">
        <v>0</v>
      </c>
      <c r="T418" s="158">
        <v>0</v>
      </c>
      <c r="U418" s="158">
        <v>0</v>
      </c>
      <c r="V418" s="158">
        <v>0</v>
      </c>
      <c r="W418" s="158">
        <v>0</v>
      </c>
      <c r="X418" s="158">
        <v>0</v>
      </c>
      <c r="Y418" s="158">
        <v>0</v>
      </c>
      <c r="Z418" s="158">
        <v>0</v>
      </c>
      <c r="AA418" s="432">
        <v>0</v>
      </c>
      <c r="AB418" s="432">
        <v>0</v>
      </c>
      <c r="AC418" s="432">
        <v>0</v>
      </c>
      <c r="AD418" s="432">
        <v>0</v>
      </c>
      <c r="AE418" s="432">
        <v>0</v>
      </c>
      <c r="AF418" s="432">
        <v>0</v>
      </c>
      <c r="AG418" s="432">
        <v>0</v>
      </c>
      <c r="AH418" s="432">
        <v>0</v>
      </c>
      <c r="AI418" s="158">
        <v>124250</v>
      </c>
      <c r="AJ418" s="158">
        <v>0</v>
      </c>
      <c r="AK418" s="158">
        <v>124250</v>
      </c>
      <c r="AL418" s="158">
        <v>124250</v>
      </c>
      <c r="AM418" s="158">
        <v>4712400</v>
      </c>
      <c r="AN418" s="158">
        <v>124250</v>
      </c>
      <c r="AO418" s="158">
        <v>124250</v>
      </c>
      <c r="AP418" s="158">
        <v>124000</v>
      </c>
      <c r="AQ418" s="432">
        <v>0</v>
      </c>
      <c r="AR418" s="432">
        <v>0</v>
      </c>
      <c r="AS418" s="432">
        <v>0</v>
      </c>
      <c r="AT418" s="432">
        <v>0</v>
      </c>
      <c r="AU418" s="432">
        <v>0</v>
      </c>
      <c r="AV418" s="432">
        <v>0</v>
      </c>
      <c r="AW418" s="432">
        <v>0</v>
      </c>
      <c r="AX418" s="432">
        <v>0</v>
      </c>
      <c r="AY418" s="158">
        <v>0</v>
      </c>
      <c r="AZ418" s="158">
        <v>0</v>
      </c>
      <c r="BA418" s="158">
        <v>0</v>
      </c>
      <c r="BB418" s="158">
        <v>0</v>
      </c>
      <c r="BC418" s="158">
        <v>0</v>
      </c>
      <c r="BD418" s="158">
        <v>0</v>
      </c>
      <c r="BE418" s="158">
        <v>0</v>
      </c>
      <c r="BF418" s="160">
        <v>0</v>
      </c>
      <c r="BG418" s="383">
        <v>2023</v>
      </c>
      <c r="BH418" s="383">
        <v>1</v>
      </c>
      <c r="BI418" s="383">
        <v>19</v>
      </c>
      <c r="BK418" s="147" t="str">
        <f>IF(R418=SUM(Z418,AH418,AP418,AX418,BF418),"○","×")</f>
        <v>○</v>
      </c>
    </row>
    <row r="419" spans="1:63" x14ac:dyDescent="0.2">
      <c r="A419" s="428">
        <v>1615</v>
      </c>
      <c r="B419" s="429"/>
      <c r="C419" s="430"/>
      <c r="D419" s="429"/>
      <c r="E419" s="430"/>
      <c r="F419" s="429"/>
      <c r="G419" s="429"/>
      <c r="H419" s="430"/>
      <c r="I419" s="429"/>
      <c r="J419" s="429"/>
      <c r="K419" s="429"/>
      <c r="L419" s="383"/>
      <c r="M419" s="383">
        <v>1552090</v>
      </c>
      <c r="N419" s="383" t="s">
        <v>340</v>
      </c>
      <c r="O419" s="383" t="s">
        <v>699</v>
      </c>
      <c r="P419" s="383" t="s">
        <v>970</v>
      </c>
      <c r="Q419" s="383"/>
      <c r="R419" s="431">
        <v>63000</v>
      </c>
      <c r="S419" s="158">
        <v>0</v>
      </c>
      <c r="T419" s="158">
        <v>0</v>
      </c>
      <c r="U419" s="158">
        <v>0</v>
      </c>
      <c r="V419" s="158">
        <v>0</v>
      </c>
      <c r="W419" s="158">
        <v>0</v>
      </c>
      <c r="X419" s="158">
        <v>0</v>
      </c>
      <c r="Y419" s="158">
        <v>0</v>
      </c>
      <c r="Z419" s="158">
        <v>0</v>
      </c>
      <c r="AA419" s="432">
        <v>0</v>
      </c>
      <c r="AB419" s="432">
        <v>0</v>
      </c>
      <c r="AC419" s="432">
        <v>0</v>
      </c>
      <c r="AD419" s="432">
        <v>0</v>
      </c>
      <c r="AE419" s="432">
        <v>0</v>
      </c>
      <c r="AF419" s="432">
        <v>0</v>
      </c>
      <c r="AG419" s="432">
        <v>0</v>
      </c>
      <c r="AH419" s="432">
        <v>0</v>
      </c>
      <c r="AI419" s="158">
        <v>63518</v>
      </c>
      <c r="AJ419" s="158">
        <v>0</v>
      </c>
      <c r="AK419" s="158">
        <v>63518</v>
      </c>
      <c r="AL419" s="158">
        <v>63518</v>
      </c>
      <c r="AM419" s="158">
        <v>1566000</v>
      </c>
      <c r="AN419" s="158">
        <v>63518</v>
      </c>
      <c r="AO419" s="158">
        <v>63518</v>
      </c>
      <c r="AP419" s="158">
        <v>63000</v>
      </c>
      <c r="AQ419" s="432">
        <v>0</v>
      </c>
      <c r="AR419" s="432">
        <v>0</v>
      </c>
      <c r="AS419" s="432">
        <v>0</v>
      </c>
      <c r="AT419" s="432">
        <v>0</v>
      </c>
      <c r="AU419" s="432">
        <v>0</v>
      </c>
      <c r="AV419" s="432">
        <v>0</v>
      </c>
      <c r="AW419" s="432">
        <v>0</v>
      </c>
      <c r="AX419" s="432">
        <v>0</v>
      </c>
      <c r="AY419" s="158">
        <v>0</v>
      </c>
      <c r="AZ419" s="158">
        <v>0</v>
      </c>
      <c r="BA419" s="158">
        <v>0</v>
      </c>
      <c r="BB419" s="158">
        <v>0</v>
      </c>
      <c r="BC419" s="158">
        <v>0</v>
      </c>
      <c r="BD419" s="158">
        <v>0</v>
      </c>
      <c r="BE419" s="158">
        <v>0</v>
      </c>
      <c r="BF419" s="160">
        <v>0</v>
      </c>
      <c r="BG419" s="383">
        <v>2023</v>
      </c>
      <c r="BH419" s="383">
        <v>1</v>
      </c>
      <c r="BI419" s="383">
        <v>19</v>
      </c>
      <c r="BK419" s="147" t="str">
        <f>IF(R419=SUM(Z419,AH419,AP419,AX419,BF419),"○","×")</f>
        <v>○</v>
      </c>
    </row>
    <row r="420" spans="1:63" x14ac:dyDescent="0.2">
      <c r="A420" s="428">
        <v>1616</v>
      </c>
      <c r="B420" s="429"/>
      <c r="C420" s="430"/>
      <c r="D420" s="429"/>
      <c r="E420" s="430"/>
      <c r="F420" s="429"/>
      <c r="G420" s="429"/>
      <c r="H420" s="430"/>
      <c r="I420" s="429"/>
      <c r="J420" s="429"/>
      <c r="K420" s="429"/>
      <c r="L420" s="383"/>
      <c r="M420" s="383" t="s">
        <v>649</v>
      </c>
      <c r="N420" s="383" t="s">
        <v>329</v>
      </c>
      <c r="O420" s="383" t="s">
        <v>650</v>
      </c>
      <c r="P420" s="383" t="s">
        <v>970</v>
      </c>
      <c r="Q420" s="383"/>
      <c r="R420" s="431">
        <v>587000</v>
      </c>
      <c r="S420" s="158">
        <v>0</v>
      </c>
      <c r="T420" s="158">
        <v>0</v>
      </c>
      <c r="U420" s="158">
        <v>0</v>
      </c>
      <c r="V420" s="158">
        <v>0</v>
      </c>
      <c r="W420" s="158">
        <v>0</v>
      </c>
      <c r="X420" s="158">
        <v>0</v>
      </c>
      <c r="Y420" s="158">
        <v>0</v>
      </c>
      <c r="Z420" s="158">
        <v>0</v>
      </c>
      <c r="AA420" s="432">
        <v>0</v>
      </c>
      <c r="AB420" s="432">
        <v>0</v>
      </c>
      <c r="AC420" s="432">
        <v>0</v>
      </c>
      <c r="AD420" s="432">
        <v>0</v>
      </c>
      <c r="AE420" s="432">
        <v>0</v>
      </c>
      <c r="AF420" s="432">
        <v>0</v>
      </c>
      <c r="AG420" s="432">
        <v>0</v>
      </c>
      <c r="AH420" s="432">
        <v>0</v>
      </c>
      <c r="AI420" s="158">
        <v>587060</v>
      </c>
      <c r="AJ420" s="158">
        <v>0</v>
      </c>
      <c r="AK420" s="158">
        <v>587060</v>
      </c>
      <c r="AL420" s="158">
        <v>587060</v>
      </c>
      <c r="AM420" s="158">
        <v>4302000</v>
      </c>
      <c r="AN420" s="158">
        <v>587060</v>
      </c>
      <c r="AO420" s="158">
        <v>587060</v>
      </c>
      <c r="AP420" s="158">
        <v>587000</v>
      </c>
      <c r="AQ420" s="432">
        <v>0</v>
      </c>
      <c r="AR420" s="432">
        <v>0</v>
      </c>
      <c r="AS420" s="432">
        <v>0</v>
      </c>
      <c r="AT420" s="432">
        <v>0</v>
      </c>
      <c r="AU420" s="432">
        <v>0</v>
      </c>
      <c r="AV420" s="432">
        <v>0</v>
      </c>
      <c r="AW420" s="432">
        <v>0</v>
      </c>
      <c r="AX420" s="432">
        <v>0</v>
      </c>
      <c r="AY420" s="158">
        <v>0</v>
      </c>
      <c r="AZ420" s="158">
        <v>0</v>
      </c>
      <c r="BA420" s="158">
        <v>0</v>
      </c>
      <c r="BB420" s="158">
        <v>0</v>
      </c>
      <c r="BC420" s="158">
        <v>0</v>
      </c>
      <c r="BD420" s="158">
        <v>0</v>
      </c>
      <c r="BE420" s="158">
        <v>0</v>
      </c>
      <c r="BF420" s="160">
        <v>0</v>
      </c>
      <c r="BG420" s="383">
        <v>2023</v>
      </c>
      <c r="BH420" s="383">
        <v>1</v>
      </c>
      <c r="BI420" s="383">
        <v>19</v>
      </c>
      <c r="BK420" s="147" t="str">
        <f>IF(R420=SUM(Z420,AH420,AP420,AX420,BF420),"○","×")</f>
        <v>○</v>
      </c>
    </row>
    <row r="421" spans="1:63" x14ac:dyDescent="0.2">
      <c r="A421" s="428">
        <v>1617</v>
      </c>
      <c r="B421" s="429"/>
      <c r="C421" s="430"/>
      <c r="D421" s="429"/>
      <c r="E421" s="430"/>
      <c r="F421" s="429"/>
      <c r="G421" s="429"/>
      <c r="H421" s="430"/>
      <c r="I421" s="429"/>
      <c r="J421" s="429"/>
      <c r="K421" s="429"/>
      <c r="L421" s="383"/>
      <c r="M421" s="383" t="s">
        <v>508</v>
      </c>
      <c r="N421" s="383" t="s">
        <v>329</v>
      </c>
      <c r="O421" s="383" t="s">
        <v>382</v>
      </c>
      <c r="P421" s="383" t="s">
        <v>970</v>
      </c>
      <c r="Q421" s="383"/>
      <c r="R421" s="431">
        <v>314000</v>
      </c>
      <c r="S421" s="158">
        <v>0</v>
      </c>
      <c r="T421" s="158">
        <v>0</v>
      </c>
      <c r="U421" s="158">
        <v>0</v>
      </c>
      <c r="V421" s="158">
        <v>0</v>
      </c>
      <c r="W421" s="158">
        <v>0</v>
      </c>
      <c r="X421" s="158">
        <v>0</v>
      </c>
      <c r="Y421" s="158">
        <v>0</v>
      </c>
      <c r="Z421" s="158">
        <v>0</v>
      </c>
      <c r="AA421" s="432">
        <v>0</v>
      </c>
      <c r="AB421" s="432">
        <v>0</v>
      </c>
      <c r="AC421" s="432">
        <v>0</v>
      </c>
      <c r="AD421" s="432">
        <v>0</v>
      </c>
      <c r="AE421" s="432">
        <v>0</v>
      </c>
      <c r="AF421" s="432">
        <v>0</v>
      </c>
      <c r="AG421" s="432">
        <v>0</v>
      </c>
      <c r="AH421" s="432">
        <v>0</v>
      </c>
      <c r="AI421" s="158">
        <v>314491</v>
      </c>
      <c r="AJ421" s="158">
        <v>0</v>
      </c>
      <c r="AK421" s="158">
        <v>314491</v>
      </c>
      <c r="AL421" s="158">
        <v>314491</v>
      </c>
      <c r="AM421" s="158">
        <v>6609600</v>
      </c>
      <c r="AN421" s="158">
        <v>314491</v>
      </c>
      <c r="AO421" s="158">
        <v>314491</v>
      </c>
      <c r="AP421" s="158">
        <v>314000</v>
      </c>
      <c r="AQ421" s="432">
        <v>0</v>
      </c>
      <c r="AR421" s="432">
        <v>0</v>
      </c>
      <c r="AS421" s="432">
        <v>0</v>
      </c>
      <c r="AT421" s="432">
        <v>0</v>
      </c>
      <c r="AU421" s="432">
        <v>0</v>
      </c>
      <c r="AV421" s="432">
        <v>0</v>
      </c>
      <c r="AW421" s="432">
        <v>0</v>
      </c>
      <c r="AX421" s="432">
        <v>0</v>
      </c>
      <c r="AY421" s="158">
        <v>0</v>
      </c>
      <c r="AZ421" s="158">
        <v>0</v>
      </c>
      <c r="BA421" s="158">
        <v>0</v>
      </c>
      <c r="BB421" s="158">
        <v>0</v>
      </c>
      <c r="BC421" s="158">
        <v>0</v>
      </c>
      <c r="BD421" s="158">
        <v>0</v>
      </c>
      <c r="BE421" s="158">
        <v>0</v>
      </c>
      <c r="BF421" s="160">
        <v>0</v>
      </c>
      <c r="BG421" s="383">
        <v>2023</v>
      </c>
      <c r="BH421" s="383">
        <v>1</v>
      </c>
      <c r="BI421" s="383">
        <v>19</v>
      </c>
      <c r="BK421" s="147" t="str">
        <f>IF(R421=SUM(Z421,AH421,AP421,AX421,BF421),"○","×")</f>
        <v>○</v>
      </c>
    </row>
    <row r="422" spans="1:63" x14ac:dyDescent="0.2">
      <c r="A422" s="428">
        <v>1618</v>
      </c>
      <c r="B422" s="429"/>
      <c r="C422" s="430"/>
      <c r="D422" s="429"/>
      <c r="E422" s="430"/>
      <c r="F422" s="429"/>
      <c r="G422" s="429"/>
      <c r="H422" s="430"/>
      <c r="I422" s="429"/>
      <c r="J422" s="429"/>
      <c r="K422" s="429"/>
      <c r="L422" s="383"/>
      <c r="M422" s="383" t="s">
        <v>796</v>
      </c>
      <c r="N422" s="383" t="s">
        <v>323</v>
      </c>
      <c r="O422" s="383" t="s">
        <v>599</v>
      </c>
      <c r="P422" s="383" t="s">
        <v>970</v>
      </c>
      <c r="Q422" s="383"/>
      <c r="R422" s="431">
        <v>293000</v>
      </c>
      <c r="S422" s="158">
        <v>0</v>
      </c>
      <c r="T422" s="158">
        <v>0</v>
      </c>
      <c r="U422" s="158">
        <v>0</v>
      </c>
      <c r="V422" s="158">
        <v>0</v>
      </c>
      <c r="W422" s="158">
        <v>0</v>
      </c>
      <c r="X422" s="158">
        <v>0</v>
      </c>
      <c r="Y422" s="158">
        <v>0</v>
      </c>
      <c r="Z422" s="158">
        <v>0</v>
      </c>
      <c r="AA422" s="432">
        <v>0</v>
      </c>
      <c r="AB422" s="432">
        <v>0</v>
      </c>
      <c r="AC422" s="432">
        <v>0</v>
      </c>
      <c r="AD422" s="432">
        <v>0</v>
      </c>
      <c r="AE422" s="432">
        <v>0</v>
      </c>
      <c r="AF422" s="432">
        <v>0</v>
      </c>
      <c r="AG422" s="432">
        <v>0</v>
      </c>
      <c r="AH422" s="432">
        <v>0</v>
      </c>
      <c r="AI422" s="158">
        <v>293259</v>
      </c>
      <c r="AJ422" s="158">
        <v>0</v>
      </c>
      <c r="AK422" s="158">
        <v>293259</v>
      </c>
      <c r="AL422" s="158">
        <v>293259</v>
      </c>
      <c r="AM422" s="158">
        <v>9072000</v>
      </c>
      <c r="AN422" s="158">
        <v>293259</v>
      </c>
      <c r="AO422" s="158">
        <v>293259</v>
      </c>
      <c r="AP422" s="158">
        <v>293000</v>
      </c>
      <c r="AQ422" s="432">
        <v>0</v>
      </c>
      <c r="AR422" s="432">
        <v>0</v>
      </c>
      <c r="AS422" s="432">
        <v>0</v>
      </c>
      <c r="AT422" s="432">
        <v>0</v>
      </c>
      <c r="AU422" s="432">
        <v>0</v>
      </c>
      <c r="AV422" s="432">
        <v>0</v>
      </c>
      <c r="AW422" s="432">
        <v>0</v>
      </c>
      <c r="AX422" s="432">
        <v>0</v>
      </c>
      <c r="AY422" s="158">
        <v>0</v>
      </c>
      <c r="AZ422" s="158">
        <v>0</v>
      </c>
      <c r="BA422" s="158">
        <v>0</v>
      </c>
      <c r="BB422" s="158">
        <v>0</v>
      </c>
      <c r="BC422" s="158">
        <v>0</v>
      </c>
      <c r="BD422" s="158">
        <v>0</v>
      </c>
      <c r="BE422" s="158">
        <v>0</v>
      </c>
      <c r="BF422" s="160">
        <v>0</v>
      </c>
      <c r="BG422" s="383">
        <v>2023</v>
      </c>
      <c r="BH422" s="383">
        <v>1</v>
      </c>
      <c r="BI422" s="383">
        <v>19</v>
      </c>
      <c r="BK422" s="147" t="str">
        <f>IF(R422=SUM(Z422,AH422,AP422,AX422,BF422),"○","×")</f>
        <v>○</v>
      </c>
    </row>
    <row r="423" spans="1:63" x14ac:dyDescent="0.2">
      <c r="A423" s="428">
        <v>1619</v>
      </c>
      <c r="B423" s="429"/>
      <c r="C423" s="430"/>
      <c r="D423" s="429"/>
      <c r="E423" s="430"/>
      <c r="F423" s="429"/>
      <c r="G423" s="429"/>
      <c r="H423" s="430"/>
      <c r="I423" s="429"/>
      <c r="J423" s="429"/>
      <c r="K423" s="429"/>
      <c r="L423" s="383"/>
      <c r="M423" s="383" t="s">
        <v>839</v>
      </c>
      <c r="N423" s="383" t="s">
        <v>340</v>
      </c>
      <c r="O423" s="383" t="s">
        <v>840</v>
      </c>
      <c r="P423" s="383" t="s">
        <v>970</v>
      </c>
      <c r="Q423" s="383"/>
      <c r="R423" s="431">
        <v>97000</v>
      </c>
      <c r="S423" s="158">
        <v>0</v>
      </c>
      <c r="T423" s="158">
        <v>0</v>
      </c>
      <c r="U423" s="158">
        <v>0</v>
      </c>
      <c r="V423" s="158">
        <v>0</v>
      </c>
      <c r="W423" s="158">
        <v>0</v>
      </c>
      <c r="X423" s="158">
        <v>0</v>
      </c>
      <c r="Y423" s="158">
        <v>0</v>
      </c>
      <c r="Z423" s="158">
        <v>0</v>
      </c>
      <c r="AA423" s="432">
        <v>0</v>
      </c>
      <c r="AB423" s="432">
        <v>0</v>
      </c>
      <c r="AC423" s="432">
        <v>0</v>
      </c>
      <c r="AD423" s="432">
        <v>0</v>
      </c>
      <c r="AE423" s="432">
        <v>0</v>
      </c>
      <c r="AF423" s="432">
        <v>0</v>
      </c>
      <c r="AG423" s="432">
        <v>0</v>
      </c>
      <c r="AH423" s="432">
        <v>0</v>
      </c>
      <c r="AI423" s="158">
        <v>97055</v>
      </c>
      <c r="AJ423" s="158">
        <v>0</v>
      </c>
      <c r="AK423" s="158">
        <v>97055</v>
      </c>
      <c r="AL423" s="158">
        <v>97055</v>
      </c>
      <c r="AM423" s="158">
        <v>1566000</v>
      </c>
      <c r="AN423" s="158">
        <v>97055</v>
      </c>
      <c r="AO423" s="158">
        <v>97055</v>
      </c>
      <c r="AP423" s="158">
        <v>97000</v>
      </c>
      <c r="AQ423" s="432">
        <v>0</v>
      </c>
      <c r="AR423" s="432">
        <v>0</v>
      </c>
      <c r="AS423" s="432">
        <v>0</v>
      </c>
      <c r="AT423" s="432">
        <v>0</v>
      </c>
      <c r="AU423" s="432">
        <v>0</v>
      </c>
      <c r="AV423" s="432">
        <v>0</v>
      </c>
      <c r="AW423" s="432">
        <v>0</v>
      </c>
      <c r="AX423" s="432">
        <v>0</v>
      </c>
      <c r="AY423" s="158">
        <v>0</v>
      </c>
      <c r="AZ423" s="158">
        <v>0</v>
      </c>
      <c r="BA423" s="158">
        <v>0</v>
      </c>
      <c r="BB423" s="158">
        <v>0</v>
      </c>
      <c r="BC423" s="158">
        <v>0</v>
      </c>
      <c r="BD423" s="158">
        <v>0</v>
      </c>
      <c r="BE423" s="158">
        <v>0</v>
      </c>
      <c r="BF423" s="160">
        <v>0</v>
      </c>
      <c r="BG423" s="383">
        <v>2023</v>
      </c>
      <c r="BH423" s="383">
        <v>1</v>
      </c>
      <c r="BI423" s="383">
        <v>19</v>
      </c>
      <c r="BK423" s="147" t="str">
        <f>IF(R423=SUM(Z423,AH423,AP423,AX423,BF423),"○","×")</f>
        <v>○</v>
      </c>
    </row>
    <row r="424" spans="1:63" x14ac:dyDescent="0.2">
      <c r="A424" s="428">
        <v>1620</v>
      </c>
      <c r="B424" s="429"/>
      <c r="C424" s="430"/>
      <c r="D424" s="429"/>
      <c r="E424" s="430"/>
      <c r="F424" s="429"/>
      <c r="G424" s="429"/>
      <c r="H424" s="430"/>
      <c r="I424" s="429"/>
      <c r="J424" s="429"/>
      <c r="K424" s="429"/>
      <c r="L424" s="383"/>
      <c r="M424" s="383" t="s">
        <v>841</v>
      </c>
      <c r="N424" s="383" t="s">
        <v>323</v>
      </c>
      <c r="O424" s="383" t="s">
        <v>804</v>
      </c>
      <c r="P424" s="383" t="s">
        <v>970</v>
      </c>
      <c r="Q424" s="383"/>
      <c r="R424" s="431">
        <v>150000</v>
      </c>
      <c r="S424" s="158">
        <v>0</v>
      </c>
      <c r="T424" s="158">
        <v>0</v>
      </c>
      <c r="U424" s="158">
        <v>0</v>
      </c>
      <c r="V424" s="158">
        <v>0</v>
      </c>
      <c r="W424" s="158">
        <v>0</v>
      </c>
      <c r="X424" s="158">
        <v>0</v>
      </c>
      <c r="Y424" s="158">
        <v>0</v>
      </c>
      <c r="Z424" s="158">
        <v>0</v>
      </c>
      <c r="AA424" s="432">
        <v>0</v>
      </c>
      <c r="AB424" s="432">
        <v>0</v>
      </c>
      <c r="AC424" s="432">
        <v>0</v>
      </c>
      <c r="AD424" s="432">
        <v>0</v>
      </c>
      <c r="AE424" s="432">
        <v>0</v>
      </c>
      <c r="AF424" s="432">
        <v>0</v>
      </c>
      <c r="AG424" s="432">
        <v>0</v>
      </c>
      <c r="AH424" s="432">
        <v>0</v>
      </c>
      <c r="AI424" s="158">
        <v>150280</v>
      </c>
      <c r="AJ424" s="158">
        <v>0</v>
      </c>
      <c r="AK424" s="158">
        <v>150280</v>
      </c>
      <c r="AL424" s="158">
        <v>150280</v>
      </c>
      <c r="AM424" s="158">
        <v>4752000</v>
      </c>
      <c r="AN424" s="158">
        <v>150280</v>
      </c>
      <c r="AO424" s="158">
        <v>150280</v>
      </c>
      <c r="AP424" s="158">
        <v>150000</v>
      </c>
      <c r="AQ424" s="432">
        <v>0</v>
      </c>
      <c r="AR424" s="432">
        <v>0</v>
      </c>
      <c r="AS424" s="432">
        <v>0</v>
      </c>
      <c r="AT424" s="432">
        <v>0</v>
      </c>
      <c r="AU424" s="432">
        <v>0</v>
      </c>
      <c r="AV424" s="432">
        <v>0</v>
      </c>
      <c r="AW424" s="432">
        <v>0</v>
      </c>
      <c r="AX424" s="432">
        <v>0</v>
      </c>
      <c r="AY424" s="158">
        <v>0</v>
      </c>
      <c r="AZ424" s="158">
        <v>0</v>
      </c>
      <c r="BA424" s="158">
        <v>0</v>
      </c>
      <c r="BB424" s="158">
        <v>0</v>
      </c>
      <c r="BC424" s="158">
        <v>0</v>
      </c>
      <c r="BD424" s="158">
        <v>0</v>
      </c>
      <c r="BE424" s="158">
        <v>0</v>
      </c>
      <c r="BF424" s="160">
        <v>0</v>
      </c>
      <c r="BG424" s="383">
        <v>2023</v>
      </c>
      <c r="BH424" s="383">
        <v>1</v>
      </c>
      <c r="BI424" s="383">
        <v>19</v>
      </c>
      <c r="BK424" s="147" t="str">
        <f>IF(R424=SUM(Z424,AH424,AP424,AX424,BF424),"○","×")</f>
        <v>○</v>
      </c>
    </row>
    <row r="425" spans="1:63" x14ac:dyDescent="0.2">
      <c r="A425" s="428">
        <v>1621</v>
      </c>
      <c r="B425" s="429"/>
      <c r="C425" s="430"/>
      <c r="D425" s="429"/>
      <c r="E425" s="430"/>
      <c r="F425" s="429"/>
      <c r="G425" s="429"/>
      <c r="H425" s="430"/>
      <c r="I425" s="429"/>
      <c r="J425" s="429"/>
      <c r="K425" s="429"/>
      <c r="L425" s="383"/>
      <c r="M425" s="383" t="s">
        <v>337</v>
      </c>
      <c r="N425" s="383" t="s">
        <v>323</v>
      </c>
      <c r="O425" s="383" t="s">
        <v>338</v>
      </c>
      <c r="P425" s="383" t="s">
        <v>970</v>
      </c>
      <c r="Q425" s="383"/>
      <c r="R425" s="431">
        <v>167000</v>
      </c>
      <c r="S425" s="158">
        <v>0</v>
      </c>
      <c r="T425" s="158">
        <v>0</v>
      </c>
      <c r="U425" s="158">
        <v>0</v>
      </c>
      <c r="V425" s="158">
        <v>0</v>
      </c>
      <c r="W425" s="158">
        <v>0</v>
      </c>
      <c r="X425" s="158">
        <v>0</v>
      </c>
      <c r="Y425" s="158">
        <v>0</v>
      </c>
      <c r="Z425" s="158">
        <v>0</v>
      </c>
      <c r="AA425" s="432">
        <v>0</v>
      </c>
      <c r="AB425" s="432">
        <v>0</v>
      </c>
      <c r="AC425" s="432">
        <v>0</v>
      </c>
      <c r="AD425" s="432">
        <v>0</v>
      </c>
      <c r="AE425" s="432">
        <v>0</v>
      </c>
      <c r="AF425" s="432">
        <v>0</v>
      </c>
      <c r="AG425" s="432">
        <v>0</v>
      </c>
      <c r="AH425" s="432">
        <v>0</v>
      </c>
      <c r="AI425" s="158">
        <v>167970</v>
      </c>
      <c r="AJ425" s="158">
        <v>0</v>
      </c>
      <c r="AK425" s="158">
        <v>167970</v>
      </c>
      <c r="AL425" s="158">
        <v>167970</v>
      </c>
      <c r="AM425" s="158">
        <v>3456000</v>
      </c>
      <c r="AN425" s="158">
        <v>167970</v>
      </c>
      <c r="AO425" s="158">
        <v>167970</v>
      </c>
      <c r="AP425" s="158">
        <v>167000</v>
      </c>
      <c r="AQ425" s="432">
        <v>0</v>
      </c>
      <c r="AR425" s="432">
        <v>0</v>
      </c>
      <c r="AS425" s="432">
        <v>0</v>
      </c>
      <c r="AT425" s="432">
        <v>0</v>
      </c>
      <c r="AU425" s="432">
        <v>0</v>
      </c>
      <c r="AV425" s="432">
        <v>0</v>
      </c>
      <c r="AW425" s="432">
        <v>0</v>
      </c>
      <c r="AX425" s="432">
        <v>0</v>
      </c>
      <c r="AY425" s="158">
        <v>0</v>
      </c>
      <c r="AZ425" s="158">
        <v>0</v>
      </c>
      <c r="BA425" s="158">
        <v>0</v>
      </c>
      <c r="BB425" s="158">
        <v>0</v>
      </c>
      <c r="BC425" s="158">
        <v>0</v>
      </c>
      <c r="BD425" s="158">
        <v>0</v>
      </c>
      <c r="BE425" s="158">
        <v>0</v>
      </c>
      <c r="BF425" s="160">
        <v>0</v>
      </c>
      <c r="BG425" s="383">
        <v>2023</v>
      </c>
      <c r="BH425" s="383">
        <v>1</v>
      </c>
      <c r="BI425" s="383">
        <v>19</v>
      </c>
      <c r="BK425" s="147" t="str">
        <f>IF(R425=SUM(Z425,AH425,AP425,AX425,BF425),"○","×")</f>
        <v>○</v>
      </c>
    </row>
    <row r="426" spans="1:63" x14ac:dyDescent="0.2">
      <c r="A426" s="428">
        <v>1622</v>
      </c>
      <c r="B426" s="429"/>
      <c r="C426" s="430"/>
      <c r="D426" s="429"/>
      <c r="E426" s="430"/>
      <c r="F426" s="429"/>
      <c r="G426" s="429"/>
      <c r="H426" s="430"/>
      <c r="I426" s="429"/>
      <c r="J426" s="429"/>
      <c r="K426" s="429"/>
      <c r="L426" s="383"/>
      <c r="M426" s="383" t="s">
        <v>842</v>
      </c>
      <c r="N426" s="383" t="s">
        <v>547</v>
      </c>
      <c r="O426" s="383" t="s">
        <v>843</v>
      </c>
      <c r="P426" s="383" t="s">
        <v>970</v>
      </c>
      <c r="Q426" s="383"/>
      <c r="R426" s="431">
        <v>373000</v>
      </c>
      <c r="S426" s="158">
        <v>0</v>
      </c>
      <c r="T426" s="158">
        <v>0</v>
      </c>
      <c r="U426" s="158">
        <v>0</v>
      </c>
      <c r="V426" s="158">
        <v>0</v>
      </c>
      <c r="W426" s="158">
        <v>0</v>
      </c>
      <c r="X426" s="158">
        <v>0</v>
      </c>
      <c r="Y426" s="158">
        <v>0</v>
      </c>
      <c r="Z426" s="158">
        <v>0</v>
      </c>
      <c r="AA426" s="432">
        <v>0</v>
      </c>
      <c r="AB426" s="432">
        <v>0</v>
      </c>
      <c r="AC426" s="432">
        <v>0</v>
      </c>
      <c r="AD426" s="432">
        <v>0</v>
      </c>
      <c r="AE426" s="432">
        <v>0</v>
      </c>
      <c r="AF426" s="432">
        <v>0</v>
      </c>
      <c r="AG426" s="432">
        <v>0</v>
      </c>
      <c r="AH426" s="432">
        <v>0</v>
      </c>
      <c r="AI426" s="158">
        <v>373900</v>
      </c>
      <c r="AJ426" s="158">
        <v>0</v>
      </c>
      <c r="AK426" s="158">
        <v>373900</v>
      </c>
      <c r="AL426" s="158">
        <v>373900</v>
      </c>
      <c r="AM426" s="158">
        <v>2610000</v>
      </c>
      <c r="AN426" s="158">
        <v>373900</v>
      </c>
      <c r="AO426" s="158">
        <v>373900</v>
      </c>
      <c r="AP426" s="158">
        <v>373000</v>
      </c>
      <c r="AQ426" s="432">
        <v>0</v>
      </c>
      <c r="AR426" s="432">
        <v>0</v>
      </c>
      <c r="AS426" s="432">
        <v>0</v>
      </c>
      <c r="AT426" s="432">
        <v>0</v>
      </c>
      <c r="AU426" s="432">
        <v>0</v>
      </c>
      <c r="AV426" s="432">
        <v>0</v>
      </c>
      <c r="AW426" s="432">
        <v>0</v>
      </c>
      <c r="AX426" s="432">
        <v>0</v>
      </c>
      <c r="AY426" s="158">
        <v>0</v>
      </c>
      <c r="AZ426" s="158">
        <v>0</v>
      </c>
      <c r="BA426" s="158">
        <v>0</v>
      </c>
      <c r="BB426" s="158">
        <v>0</v>
      </c>
      <c r="BC426" s="158">
        <v>0</v>
      </c>
      <c r="BD426" s="158">
        <v>0</v>
      </c>
      <c r="BE426" s="158">
        <v>0</v>
      </c>
      <c r="BF426" s="160">
        <v>0</v>
      </c>
      <c r="BG426" s="383">
        <v>2023</v>
      </c>
      <c r="BH426" s="383">
        <v>1</v>
      </c>
      <c r="BI426" s="383">
        <v>19</v>
      </c>
      <c r="BK426" s="147" t="str">
        <f>IF(R426=SUM(Z426,AH426,AP426,AX426,BF426),"○","×")</f>
        <v>○</v>
      </c>
    </row>
    <row r="427" spans="1:63" x14ac:dyDescent="0.2">
      <c r="A427" s="428">
        <v>1623</v>
      </c>
      <c r="B427" s="429"/>
      <c r="C427" s="430"/>
      <c r="D427" s="429"/>
      <c r="E427" s="430"/>
      <c r="F427" s="429"/>
      <c r="G427" s="429"/>
      <c r="H427" s="430"/>
      <c r="I427" s="429"/>
      <c r="J427" s="429"/>
      <c r="K427" s="429"/>
      <c r="L427" s="383"/>
      <c r="M427" s="383" t="s">
        <v>446</v>
      </c>
      <c r="N427" s="383" t="s">
        <v>447</v>
      </c>
      <c r="O427" s="383" t="s">
        <v>448</v>
      </c>
      <c r="P427" s="383" t="s">
        <v>970</v>
      </c>
      <c r="Q427" s="383"/>
      <c r="R427" s="431">
        <v>840000</v>
      </c>
      <c r="S427" s="158">
        <v>0</v>
      </c>
      <c r="T427" s="158">
        <v>0</v>
      </c>
      <c r="U427" s="158">
        <v>0</v>
      </c>
      <c r="V427" s="158">
        <v>0</v>
      </c>
      <c r="W427" s="158">
        <v>0</v>
      </c>
      <c r="X427" s="158">
        <v>0</v>
      </c>
      <c r="Y427" s="158">
        <v>0</v>
      </c>
      <c r="Z427" s="158">
        <v>0</v>
      </c>
      <c r="AA427" s="432">
        <v>0</v>
      </c>
      <c r="AB427" s="432">
        <v>0</v>
      </c>
      <c r="AC427" s="432">
        <v>0</v>
      </c>
      <c r="AD427" s="432">
        <v>0</v>
      </c>
      <c r="AE427" s="432">
        <v>0</v>
      </c>
      <c r="AF427" s="432">
        <v>0</v>
      </c>
      <c r="AG427" s="432">
        <v>0</v>
      </c>
      <c r="AH427" s="432">
        <v>0</v>
      </c>
      <c r="AI427" s="158">
        <v>840690</v>
      </c>
      <c r="AJ427" s="158">
        <v>0</v>
      </c>
      <c r="AK427" s="158">
        <v>840690</v>
      </c>
      <c r="AL427" s="158">
        <v>840690</v>
      </c>
      <c r="AM427" s="158">
        <v>1728000</v>
      </c>
      <c r="AN427" s="158">
        <v>840690</v>
      </c>
      <c r="AO427" s="158">
        <v>840690</v>
      </c>
      <c r="AP427" s="158">
        <v>840000</v>
      </c>
      <c r="AQ427" s="432">
        <v>0</v>
      </c>
      <c r="AR427" s="432">
        <v>0</v>
      </c>
      <c r="AS427" s="432">
        <v>0</v>
      </c>
      <c r="AT427" s="432">
        <v>0</v>
      </c>
      <c r="AU427" s="432">
        <v>0</v>
      </c>
      <c r="AV427" s="432">
        <v>0</v>
      </c>
      <c r="AW427" s="432">
        <v>0</v>
      </c>
      <c r="AX427" s="432">
        <v>0</v>
      </c>
      <c r="AY427" s="158">
        <v>0</v>
      </c>
      <c r="AZ427" s="158">
        <v>0</v>
      </c>
      <c r="BA427" s="158">
        <v>0</v>
      </c>
      <c r="BB427" s="158">
        <v>0</v>
      </c>
      <c r="BC427" s="158">
        <v>0</v>
      </c>
      <c r="BD427" s="158">
        <v>0</v>
      </c>
      <c r="BE427" s="158">
        <v>0</v>
      </c>
      <c r="BF427" s="160">
        <v>0</v>
      </c>
      <c r="BG427" s="383">
        <v>2023</v>
      </c>
      <c r="BH427" s="383">
        <v>1</v>
      </c>
      <c r="BI427" s="383">
        <v>19</v>
      </c>
      <c r="BK427" s="147" t="str">
        <f>IF(R427=SUM(Z427,AH427,AP427,AX427,BF427),"○","×")</f>
        <v>○</v>
      </c>
    </row>
    <row r="428" spans="1:63" x14ac:dyDescent="0.2">
      <c r="A428" s="428">
        <v>1624</v>
      </c>
      <c r="B428" s="429"/>
      <c r="C428" s="430"/>
      <c r="D428" s="429"/>
      <c r="E428" s="430"/>
      <c r="F428" s="429"/>
      <c r="G428" s="429"/>
      <c r="H428" s="430"/>
      <c r="I428" s="429"/>
      <c r="J428" s="429"/>
      <c r="K428" s="429"/>
      <c r="L428" s="383"/>
      <c r="M428" s="383" t="s">
        <v>803</v>
      </c>
      <c r="N428" s="383" t="s">
        <v>367</v>
      </c>
      <c r="O428" s="383" t="s">
        <v>804</v>
      </c>
      <c r="P428" s="383" t="s">
        <v>970</v>
      </c>
      <c r="Q428" s="383"/>
      <c r="R428" s="431">
        <v>293000</v>
      </c>
      <c r="S428" s="158">
        <v>0</v>
      </c>
      <c r="T428" s="158">
        <v>0</v>
      </c>
      <c r="U428" s="158">
        <v>0</v>
      </c>
      <c r="V428" s="158">
        <v>0</v>
      </c>
      <c r="W428" s="158">
        <v>0</v>
      </c>
      <c r="X428" s="158">
        <v>0</v>
      </c>
      <c r="Y428" s="158">
        <v>0</v>
      </c>
      <c r="Z428" s="158">
        <v>0</v>
      </c>
      <c r="AA428" s="432">
        <v>0</v>
      </c>
      <c r="AB428" s="432">
        <v>0</v>
      </c>
      <c r="AC428" s="432">
        <v>0</v>
      </c>
      <c r="AD428" s="432">
        <v>0</v>
      </c>
      <c r="AE428" s="432">
        <v>0</v>
      </c>
      <c r="AF428" s="432">
        <v>0</v>
      </c>
      <c r="AG428" s="432">
        <v>0</v>
      </c>
      <c r="AH428" s="432">
        <v>0</v>
      </c>
      <c r="AI428" s="158">
        <v>293944</v>
      </c>
      <c r="AJ428" s="158">
        <v>0</v>
      </c>
      <c r="AK428" s="158">
        <v>293944</v>
      </c>
      <c r="AL428" s="158">
        <v>293944</v>
      </c>
      <c r="AM428" s="158">
        <v>8409600</v>
      </c>
      <c r="AN428" s="158">
        <v>293944</v>
      </c>
      <c r="AO428" s="158">
        <v>293944</v>
      </c>
      <c r="AP428" s="158">
        <v>293000</v>
      </c>
      <c r="AQ428" s="432">
        <v>0</v>
      </c>
      <c r="AR428" s="432">
        <v>0</v>
      </c>
      <c r="AS428" s="432">
        <v>0</v>
      </c>
      <c r="AT428" s="432">
        <v>0</v>
      </c>
      <c r="AU428" s="432">
        <v>0</v>
      </c>
      <c r="AV428" s="432">
        <v>0</v>
      </c>
      <c r="AW428" s="432">
        <v>0</v>
      </c>
      <c r="AX428" s="432">
        <v>0</v>
      </c>
      <c r="AY428" s="158">
        <v>0</v>
      </c>
      <c r="AZ428" s="158">
        <v>0</v>
      </c>
      <c r="BA428" s="158">
        <v>0</v>
      </c>
      <c r="BB428" s="158">
        <v>0</v>
      </c>
      <c r="BC428" s="158">
        <v>0</v>
      </c>
      <c r="BD428" s="158">
        <v>0</v>
      </c>
      <c r="BE428" s="158">
        <v>0</v>
      </c>
      <c r="BF428" s="160">
        <v>0</v>
      </c>
      <c r="BG428" s="383">
        <v>2023</v>
      </c>
      <c r="BH428" s="383">
        <v>1</v>
      </c>
      <c r="BI428" s="383">
        <v>19</v>
      </c>
      <c r="BK428" s="147" t="str">
        <f>IF(R428=SUM(Z428,AH428,AP428,AX428,BF428),"○","×")</f>
        <v>○</v>
      </c>
    </row>
    <row r="429" spans="1:63" x14ac:dyDescent="0.2">
      <c r="A429" s="428">
        <v>1626</v>
      </c>
      <c r="B429" s="429"/>
      <c r="C429" s="430"/>
      <c r="D429" s="429"/>
      <c r="E429" s="430"/>
      <c r="F429" s="429"/>
      <c r="G429" s="429"/>
      <c r="H429" s="430"/>
      <c r="I429" s="429"/>
      <c r="J429" s="429"/>
      <c r="K429" s="429"/>
      <c r="L429" s="383"/>
      <c r="M429" s="383" t="s">
        <v>844</v>
      </c>
      <c r="N429" s="383" t="s">
        <v>367</v>
      </c>
      <c r="O429" s="383" t="s">
        <v>330</v>
      </c>
      <c r="P429" s="383" t="s">
        <v>970</v>
      </c>
      <c r="Q429" s="383"/>
      <c r="R429" s="431">
        <v>314000</v>
      </c>
      <c r="S429" s="158">
        <v>0</v>
      </c>
      <c r="T429" s="158">
        <v>0</v>
      </c>
      <c r="U429" s="158">
        <v>0</v>
      </c>
      <c r="V429" s="158">
        <v>0</v>
      </c>
      <c r="W429" s="158">
        <v>0</v>
      </c>
      <c r="X429" s="158">
        <v>0</v>
      </c>
      <c r="Y429" s="158">
        <v>0</v>
      </c>
      <c r="Z429" s="158">
        <v>0</v>
      </c>
      <c r="AA429" s="432">
        <v>0</v>
      </c>
      <c r="AB429" s="432">
        <v>0</v>
      </c>
      <c r="AC429" s="432">
        <v>0</v>
      </c>
      <c r="AD429" s="432">
        <v>0</v>
      </c>
      <c r="AE429" s="432">
        <v>0</v>
      </c>
      <c r="AF429" s="432">
        <v>0</v>
      </c>
      <c r="AG429" s="432">
        <v>0</v>
      </c>
      <c r="AH429" s="432">
        <v>0</v>
      </c>
      <c r="AI429" s="158">
        <v>314440</v>
      </c>
      <c r="AJ429" s="158">
        <v>0</v>
      </c>
      <c r="AK429" s="158">
        <v>314440</v>
      </c>
      <c r="AL429" s="158">
        <v>314440</v>
      </c>
      <c r="AM429" s="158">
        <v>2538000</v>
      </c>
      <c r="AN429" s="158">
        <v>314440</v>
      </c>
      <c r="AO429" s="158">
        <v>314440</v>
      </c>
      <c r="AP429" s="158">
        <v>314000</v>
      </c>
      <c r="AQ429" s="432">
        <v>0</v>
      </c>
      <c r="AR429" s="432">
        <v>0</v>
      </c>
      <c r="AS429" s="432">
        <v>0</v>
      </c>
      <c r="AT429" s="432">
        <v>0</v>
      </c>
      <c r="AU429" s="432">
        <v>0</v>
      </c>
      <c r="AV429" s="432">
        <v>0</v>
      </c>
      <c r="AW429" s="432">
        <v>0</v>
      </c>
      <c r="AX429" s="432">
        <v>0</v>
      </c>
      <c r="AY429" s="158">
        <v>0</v>
      </c>
      <c r="AZ429" s="158">
        <v>0</v>
      </c>
      <c r="BA429" s="158">
        <v>0</v>
      </c>
      <c r="BB429" s="158">
        <v>0</v>
      </c>
      <c r="BC429" s="158">
        <v>0</v>
      </c>
      <c r="BD429" s="158">
        <v>0</v>
      </c>
      <c r="BE429" s="158">
        <v>0</v>
      </c>
      <c r="BF429" s="160">
        <v>0</v>
      </c>
      <c r="BG429" s="383">
        <v>2023</v>
      </c>
      <c r="BH429" s="383">
        <v>1</v>
      </c>
      <c r="BI429" s="383">
        <v>19</v>
      </c>
      <c r="BK429" s="147" t="str">
        <f>IF(R429=SUM(Z429,AH429,AP429,AX429,BF429),"○","×")</f>
        <v>○</v>
      </c>
    </row>
    <row r="430" spans="1:63" x14ac:dyDescent="0.2">
      <c r="A430" s="428">
        <v>1627</v>
      </c>
      <c r="B430" s="429"/>
      <c r="C430" s="430"/>
      <c r="D430" s="429"/>
      <c r="E430" s="430"/>
      <c r="F430" s="429"/>
      <c r="G430" s="429"/>
      <c r="H430" s="430"/>
      <c r="I430" s="429"/>
      <c r="J430" s="429"/>
      <c r="K430" s="429"/>
      <c r="L430" s="383"/>
      <c r="M430" s="383" t="s">
        <v>845</v>
      </c>
      <c r="N430" s="383" t="s">
        <v>329</v>
      </c>
      <c r="O430" s="383" t="s">
        <v>338</v>
      </c>
      <c r="P430" s="383" t="s">
        <v>970</v>
      </c>
      <c r="Q430" s="383"/>
      <c r="R430" s="431">
        <v>503000</v>
      </c>
      <c r="S430" s="158">
        <v>0</v>
      </c>
      <c r="T430" s="158">
        <v>0</v>
      </c>
      <c r="U430" s="158">
        <v>0</v>
      </c>
      <c r="V430" s="158">
        <v>0</v>
      </c>
      <c r="W430" s="158">
        <v>0</v>
      </c>
      <c r="X430" s="158">
        <v>0</v>
      </c>
      <c r="Y430" s="158">
        <v>0</v>
      </c>
      <c r="Z430" s="158">
        <v>0</v>
      </c>
      <c r="AA430" s="432">
        <v>0</v>
      </c>
      <c r="AB430" s="432">
        <v>0</v>
      </c>
      <c r="AC430" s="432">
        <v>0</v>
      </c>
      <c r="AD430" s="432">
        <v>0</v>
      </c>
      <c r="AE430" s="432">
        <v>0</v>
      </c>
      <c r="AF430" s="432">
        <v>0</v>
      </c>
      <c r="AG430" s="432">
        <v>0</v>
      </c>
      <c r="AH430" s="432">
        <v>0</v>
      </c>
      <c r="AI430" s="158">
        <v>503072</v>
      </c>
      <c r="AJ430" s="158">
        <v>0</v>
      </c>
      <c r="AK430" s="158">
        <v>503072</v>
      </c>
      <c r="AL430" s="158">
        <v>503072</v>
      </c>
      <c r="AM430" s="158">
        <v>1756800</v>
      </c>
      <c r="AN430" s="158">
        <v>503072</v>
      </c>
      <c r="AO430" s="158">
        <v>503072</v>
      </c>
      <c r="AP430" s="158">
        <v>503000</v>
      </c>
      <c r="AQ430" s="432">
        <v>0</v>
      </c>
      <c r="AR430" s="432">
        <v>0</v>
      </c>
      <c r="AS430" s="432">
        <v>0</v>
      </c>
      <c r="AT430" s="432">
        <v>0</v>
      </c>
      <c r="AU430" s="432">
        <v>0</v>
      </c>
      <c r="AV430" s="432">
        <v>0</v>
      </c>
      <c r="AW430" s="432">
        <v>0</v>
      </c>
      <c r="AX430" s="432">
        <v>0</v>
      </c>
      <c r="AY430" s="158">
        <v>0</v>
      </c>
      <c r="AZ430" s="158">
        <v>0</v>
      </c>
      <c r="BA430" s="158">
        <v>0</v>
      </c>
      <c r="BB430" s="158">
        <v>0</v>
      </c>
      <c r="BC430" s="158">
        <v>0</v>
      </c>
      <c r="BD430" s="158">
        <v>0</v>
      </c>
      <c r="BE430" s="158">
        <v>0</v>
      </c>
      <c r="BF430" s="160">
        <v>0</v>
      </c>
      <c r="BG430" s="383">
        <v>2023</v>
      </c>
      <c r="BH430" s="383">
        <v>1</v>
      </c>
      <c r="BI430" s="383">
        <v>19</v>
      </c>
      <c r="BK430" s="147" t="str">
        <f>IF(R430=SUM(Z430,AH430,AP430,AX430,BF430),"○","×")</f>
        <v>○</v>
      </c>
    </row>
    <row r="431" spans="1:63" x14ac:dyDescent="0.2">
      <c r="A431" s="428">
        <v>1629</v>
      </c>
      <c r="B431" s="429"/>
      <c r="C431" s="430"/>
      <c r="D431" s="429"/>
      <c r="E431" s="430"/>
      <c r="F431" s="429"/>
      <c r="G431" s="429"/>
      <c r="H431" s="430"/>
      <c r="I431" s="429"/>
      <c r="J431" s="429"/>
      <c r="K431" s="429"/>
      <c r="L431" s="383"/>
      <c r="M431" s="383" t="s">
        <v>846</v>
      </c>
      <c r="N431" s="383" t="s">
        <v>340</v>
      </c>
      <c r="O431" s="383" t="s">
        <v>847</v>
      </c>
      <c r="P431" s="383" t="s">
        <v>970</v>
      </c>
      <c r="Q431" s="383"/>
      <c r="R431" s="431">
        <v>31000</v>
      </c>
      <c r="S431" s="158">
        <v>0</v>
      </c>
      <c r="T431" s="158">
        <v>0</v>
      </c>
      <c r="U431" s="158">
        <v>0</v>
      </c>
      <c r="V431" s="158">
        <v>0</v>
      </c>
      <c r="W431" s="158">
        <v>0</v>
      </c>
      <c r="X431" s="158">
        <v>0</v>
      </c>
      <c r="Y431" s="158">
        <v>0</v>
      </c>
      <c r="Z431" s="158">
        <v>0</v>
      </c>
      <c r="AA431" s="432">
        <v>0</v>
      </c>
      <c r="AB431" s="432">
        <v>0</v>
      </c>
      <c r="AC431" s="432">
        <v>0</v>
      </c>
      <c r="AD431" s="432">
        <v>0</v>
      </c>
      <c r="AE431" s="432">
        <v>0</v>
      </c>
      <c r="AF431" s="432">
        <v>0</v>
      </c>
      <c r="AG431" s="432">
        <v>0</v>
      </c>
      <c r="AH431" s="432">
        <v>0</v>
      </c>
      <c r="AI431" s="158">
        <v>31075</v>
      </c>
      <c r="AJ431" s="158">
        <v>0</v>
      </c>
      <c r="AK431" s="158">
        <v>31075</v>
      </c>
      <c r="AL431" s="158">
        <v>31075</v>
      </c>
      <c r="AM431" s="158">
        <v>630000</v>
      </c>
      <c r="AN431" s="158">
        <v>31075</v>
      </c>
      <c r="AO431" s="158">
        <v>31075</v>
      </c>
      <c r="AP431" s="158">
        <v>31000</v>
      </c>
      <c r="AQ431" s="432">
        <v>0</v>
      </c>
      <c r="AR431" s="432">
        <v>0</v>
      </c>
      <c r="AS431" s="432">
        <v>0</v>
      </c>
      <c r="AT431" s="432">
        <v>0</v>
      </c>
      <c r="AU431" s="432">
        <v>0</v>
      </c>
      <c r="AV431" s="432">
        <v>0</v>
      </c>
      <c r="AW431" s="432">
        <v>0</v>
      </c>
      <c r="AX431" s="432">
        <v>0</v>
      </c>
      <c r="AY431" s="158">
        <v>0</v>
      </c>
      <c r="AZ431" s="158">
        <v>0</v>
      </c>
      <c r="BA431" s="158">
        <v>0</v>
      </c>
      <c r="BB431" s="158">
        <v>0</v>
      </c>
      <c r="BC431" s="158">
        <v>0</v>
      </c>
      <c r="BD431" s="158">
        <v>0</v>
      </c>
      <c r="BE431" s="158">
        <v>0</v>
      </c>
      <c r="BF431" s="160">
        <v>0</v>
      </c>
      <c r="BG431" s="383">
        <v>2023</v>
      </c>
      <c r="BH431" s="383">
        <v>1</v>
      </c>
      <c r="BI431" s="383">
        <v>19</v>
      </c>
      <c r="BK431" s="147" t="str">
        <f>IF(R431=SUM(Z431,AH431,AP431,AX431,BF431),"○","×")</f>
        <v>○</v>
      </c>
    </row>
    <row r="432" spans="1:63" x14ac:dyDescent="0.2">
      <c r="A432" s="428">
        <v>1630</v>
      </c>
      <c r="B432" s="429"/>
      <c r="C432" s="430"/>
      <c r="D432" s="429"/>
      <c r="E432" s="430"/>
      <c r="F432" s="429"/>
      <c r="G432" s="429"/>
      <c r="H432" s="430"/>
      <c r="I432" s="429"/>
      <c r="J432" s="429"/>
      <c r="K432" s="429"/>
      <c r="L432" s="383"/>
      <c r="M432" s="383" t="s">
        <v>848</v>
      </c>
      <c r="N432" s="383" t="s">
        <v>340</v>
      </c>
      <c r="O432" s="383" t="s">
        <v>462</v>
      </c>
      <c r="P432" s="383" t="s">
        <v>970</v>
      </c>
      <c r="Q432" s="383"/>
      <c r="R432" s="431">
        <v>113000</v>
      </c>
      <c r="S432" s="158">
        <v>0</v>
      </c>
      <c r="T432" s="158">
        <v>0</v>
      </c>
      <c r="U432" s="158">
        <v>0</v>
      </c>
      <c r="V432" s="158">
        <v>0</v>
      </c>
      <c r="W432" s="158">
        <v>0</v>
      </c>
      <c r="X432" s="158">
        <v>0</v>
      </c>
      <c r="Y432" s="158">
        <v>0</v>
      </c>
      <c r="Z432" s="158">
        <v>0</v>
      </c>
      <c r="AA432" s="432">
        <v>0</v>
      </c>
      <c r="AB432" s="432">
        <v>0</v>
      </c>
      <c r="AC432" s="432">
        <v>0</v>
      </c>
      <c r="AD432" s="432">
        <v>0</v>
      </c>
      <c r="AE432" s="432">
        <v>0</v>
      </c>
      <c r="AF432" s="432">
        <v>0</v>
      </c>
      <c r="AG432" s="432">
        <v>0</v>
      </c>
      <c r="AH432" s="432">
        <v>0</v>
      </c>
      <c r="AI432" s="158">
        <v>113873</v>
      </c>
      <c r="AJ432" s="158">
        <v>0</v>
      </c>
      <c r="AK432" s="158">
        <v>113873</v>
      </c>
      <c r="AL432" s="158">
        <v>113873</v>
      </c>
      <c r="AM432" s="158">
        <v>2160000</v>
      </c>
      <c r="AN432" s="158">
        <v>113873</v>
      </c>
      <c r="AO432" s="158">
        <v>113873</v>
      </c>
      <c r="AP432" s="158">
        <v>113000</v>
      </c>
      <c r="AQ432" s="432">
        <v>0</v>
      </c>
      <c r="AR432" s="432">
        <v>0</v>
      </c>
      <c r="AS432" s="432">
        <v>0</v>
      </c>
      <c r="AT432" s="432">
        <v>0</v>
      </c>
      <c r="AU432" s="432">
        <v>0</v>
      </c>
      <c r="AV432" s="432">
        <v>0</v>
      </c>
      <c r="AW432" s="432">
        <v>0</v>
      </c>
      <c r="AX432" s="432">
        <v>0</v>
      </c>
      <c r="AY432" s="158">
        <v>0</v>
      </c>
      <c r="AZ432" s="158">
        <v>0</v>
      </c>
      <c r="BA432" s="158">
        <v>0</v>
      </c>
      <c r="BB432" s="158">
        <v>0</v>
      </c>
      <c r="BC432" s="158">
        <v>0</v>
      </c>
      <c r="BD432" s="158">
        <v>0</v>
      </c>
      <c r="BE432" s="158">
        <v>0</v>
      </c>
      <c r="BF432" s="160">
        <v>0</v>
      </c>
      <c r="BG432" s="383">
        <v>2023</v>
      </c>
      <c r="BH432" s="383">
        <v>1</v>
      </c>
      <c r="BI432" s="383">
        <v>19</v>
      </c>
      <c r="BK432" s="147" t="str">
        <f>IF(R432=SUM(Z432,AH432,AP432,AX432,BF432),"○","×")</f>
        <v>○</v>
      </c>
    </row>
    <row r="433" spans="1:63" x14ac:dyDescent="0.2">
      <c r="A433" s="428">
        <v>1631</v>
      </c>
      <c r="B433" s="429"/>
      <c r="C433" s="430"/>
      <c r="D433" s="429"/>
      <c r="E433" s="430"/>
      <c r="F433" s="429"/>
      <c r="G433" s="429"/>
      <c r="H433" s="430"/>
      <c r="I433" s="429"/>
      <c r="J433" s="429"/>
      <c r="K433" s="429"/>
      <c r="L433" s="383"/>
      <c r="M433" s="383" t="s">
        <v>438</v>
      </c>
      <c r="N433" s="383" t="s">
        <v>329</v>
      </c>
      <c r="O433" s="383" t="s">
        <v>439</v>
      </c>
      <c r="P433" s="383" t="s">
        <v>970</v>
      </c>
      <c r="Q433" s="383"/>
      <c r="R433" s="431">
        <v>369000</v>
      </c>
      <c r="S433" s="158">
        <v>0</v>
      </c>
      <c r="T433" s="158">
        <v>0</v>
      </c>
      <c r="U433" s="158">
        <v>0</v>
      </c>
      <c r="V433" s="158">
        <v>0</v>
      </c>
      <c r="W433" s="158">
        <v>0</v>
      </c>
      <c r="X433" s="158">
        <v>0</v>
      </c>
      <c r="Y433" s="158">
        <v>0</v>
      </c>
      <c r="Z433" s="158">
        <v>0</v>
      </c>
      <c r="AA433" s="432">
        <v>0</v>
      </c>
      <c r="AB433" s="432">
        <v>0</v>
      </c>
      <c r="AC433" s="432">
        <v>0</v>
      </c>
      <c r="AD433" s="432">
        <v>0</v>
      </c>
      <c r="AE433" s="432">
        <v>0</v>
      </c>
      <c r="AF433" s="432">
        <v>0</v>
      </c>
      <c r="AG433" s="432">
        <v>0</v>
      </c>
      <c r="AH433" s="432">
        <v>0</v>
      </c>
      <c r="AI433" s="158">
        <v>369968</v>
      </c>
      <c r="AJ433" s="158">
        <v>0</v>
      </c>
      <c r="AK433" s="158">
        <v>369968</v>
      </c>
      <c r="AL433" s="158">
        <v>369968</v>
      </c>
      <c r="AM433" s="158">
        <v>2160000</v>
      </c>
      <c r="AN433" s="158">
        <v>369968</v>
      </c>
      <c r="AO433" s="158">
        <v>369968</v>
      </c>
      <c r="AP433" s="158">
        <v>369000</v>
      </c>
      <c r="AQ433" s="432">
        <v>0</v>
      </c>
      <c r="AR433" s="432">
        <v>0</v>
      </c>
      <c r="AS433" s="432">
        <v>0</v>
      </c>
      <c r="AT433" s="432">
        <v>0</v>
      </c>
      <c r="AU433" s="432">
        <v>0</v>
      </c>
      <c r="AV433" s="432">
        <v>0</v>
      </c>
      <c r="AW433" s="432">
        <v>0</v>
      </c>
      <c r="AX433" s="432">
        <v>0</v>
      </c>
      <c r="AY433" s="158">
        <v>0</v>
      </c>
      <c r="AZ433" s="158">
        <v>0</v>
      </c>
      <c r="BA433" s="158">
        <v>0</v>
      </c>
      <c r="BB433" s="158">
        <v>0</v>
      </c>
      <c r="BC433" s="158">
        <v>0</v>
      </c>
      <c r="BD433" s="158">
        <v>0</v>
      </c>
      <c r="BE433" s="158">
        <v>0</v>
      </c>
      <c r="BF433" s="160">
        <v>0</v>
      </c>
      <c r="BG433" s="383">
        <v>2023</v>
      </c>
      <c r="BH433" s="383">
        <v>1</v>
      </c>
      <c r="BI433" s="383">
        <v>19</v>
      </c>
      <c r="BK433" s="147" t="str">
        <f>IF(R433=SUM(Z433,AH433,AP433,AX433,BF433),"○","×")</f>
        <v>○</v>
      </c>
    </row>
    <row r="434" spans="1:63" x14ac:dyDescent="0.2">
      <c r="A434" s="428">
        <v>1632</v>
      </c>
      <c r="B434" s="429"/>
      <c r="C434" s="430"/>
      <c r="D434" s="429"/>
      <c r="E434" s="430"/>
      <c r="F434" s="429"/>
      <c r="G434" s="429"/>
      <c r="H434" s="430"/>
      <c r="I434" s="429"/>
      <c r="J434" s="429"/>
      <c r="K434" s="429"/>
      <c r="L434" s="383"/>
      <c r="M434" s="383" t="s">
        <v>322</v>
      </c>
      <c r="N434" s="383" t="s">
        <v>323</v>
      </c>
      <c r="O434" s="383" t="s">
        <v>324</v>
      </c>
      <c r="P434" s="383" t="s">
        <v>970</v>
      </c>
      <c r="Q434" s="383"/>
      <c r="R434" s="431">
        <v>353000</v>
      </c>
      <c r="S434" s="158">
        <v>0</v>
      </c>
      <c r="T434" s="158">
        <v>0</v>
      </c>
      <c r="U434" s="158">
        <v>0</v>
      </c>
      <c r="V434" s="158">
        <v>0</v>
      </c>
      <c r="W434" s="158">
        <v>0</v>
      </c>
      <c r="X434" s="158">
        <v>0</v>
      </c>
      <c r="Y434" s="158">
        <v>0</v>
      </c>
      <c r="Z434" s="158">
        <v>0</v>
      </c>
      <c r="AA434" s="432">
        <v>0</v>
      </c>
      <c r="AB434" s="432">
        <v>0</v>
      </c>
      <c r="AC434" s="432">
        <v>0</v>
      </c>
      <c r="AD434" s="432">
        <v>0</v>
      </c>
      <c r="AE434" s="432">
        <v>0</v>
      </c>
      <c r="AF434" s="432">
        <v>0</v>
      </c>
      <c r="AG434" s="432">
        <v>0</v>
      </c>
      <c r="AH434" s="432">
        <v>0</v>
      </c>
      <c r="AI434" s="158">
        <v>353100</v>
      </c>
      <c r="AJ434" s="158">
        <v>0</v>
      </c>
      <c r="AK434" s="158">
        <v>353100</v>
      </c>
      <c r="AL434" s="158">
        <v>353100</v>
      </c>
      <c r="AM434" s="158">
        <v>2073600</v>
      </c>
      <c r="AN434" s="158">
        <v>353100</v>
      </c>
      <c r="AO434" s="158">
        <v>353100</v>
      </c>
      <c r="AP434" s="158">
        <v>353000</v>
      </c>
      <c r="AQ434" s="432">
        <v>0</v>
      </c>
      <c r="AR434" s="432">
        <v>0</v>
      </c>
      <c r="AS434" s="432">
        <v>0</v>
      </c>
      <c r="AT434" s="432">
        <v>0</v>
      </c>
      <c r="AU434" s="432">
        <v>0</v>
      </c>
      <c r="AV434" s="432">
        <v>0</v>
      </c>
      <c r="AW434" s="432">
        <v>0</v>
      </c>
      <c r="AX434" s="432">
        <v>0</v>
      </c>
      <c r="AY434" s="158">
        <v>0</v>
      </c>
      <c r="AZ434" s="158">
        <v>0</v>
      </c>
      <c r="BA434" s="158">
        <v>0</v>
      </c>
      <c r="BB434" s="158">
        <v>0</v>
      </c>
      <c r="BC434" s="158">
        <v>0</v>
      </c>
      <c r="BD434" s="158">
        <v>0</v>
      </c>
      <c r="BE434" s="158">
        <v>0</v>
      </c>
      <c r="BF434" s="160">
        <v>0</v>
      </c>
      <c r="BG434" s="383">
        <v>2023</v>
      </c>
      <c r="BH434" s="383">
        <v>1</v>
      </c>
      <c r="BI434" s="383">
        <v>19</v>
      </c>
      <c r="BK434" s="147" t="str">
        <f>IF(R434=SUM(Z434,AH434,AP434,AX434,BF434),"○","×")</f>
        <v>○</v>
      </c>
    </row>
    <row r="435" spans="1:63" x14ac:dyDescent="0.2">
      <c r="A435" s="428">
        <v>1633</v>
      </c>
      <c r="B435" s="429"/>
      <c r="C435" s="430"/>
      <c r="D435" s="429"/>
      <c r="E435" s="430"/>
      <c r="F435" s="429"/>
      <c r="G435" s="429"/>
      <c r="H435" s="430"/>
      <c r="I435" s="429"/>
      <c r="J435" s="429"/>
      <c r="K435" s="429"/>
      <c r="L435" s="383"/>
      <c r="M435" s="383" t="s">
        <v>741</v>
      </c>
      <c r="N435" s="383" t="s">
        <v>332</v>
      </c>
      <c r="O435" s="383" t="s">
        <v>370</v>
      </c>
      <c r="P435" s="383" t="s">
        <v>970</v>
      </c>
      <c r="Q435" s="383"/>
      <c r="R435" s="431">
        <v>345000</v>
      </c>
      <c r="S435" s="158">
        <v>0</v>
      </c>
      <c r="T435" s="158">
        <v>0</v>
      </c>
      <c r="U435" s="158">
        <v>0</v>
      </c>
      <c r="V435" s="158">
        <v>0</v>
      </c>
      <c r="W435" s="158">
        <v>0</v>
      </c>
      <c r="X435" s="158">
        <v>0</v>
      </c>
      <c r="Y435" s="158">
        <v>0</v>
      </c>
      <c r="Z435" s="158">
        <v>0</v>
      </c>
      <c r="AA435" s="432">
        <v>0</v>
      </c>
      <c r="AB435" s="432">
        <v>0</v>
      </c>
      <c r="AC435" s="432">
        <v>0</v>
      </c>
      <c r="AD435" s="432">
        <v>0</v>
      </c>
      <c r="AE435" s="432">
        <v>0</v>
      </c>
      <c r="AF435" s="432">
        <v>0</v>
      </c>
      <c r="AG435" s="432">
        <v>0</v>
      </c>
      <c r="AH435" s="432">
        <v>0</v>
      </c>
      <c r="AI435" s="158">
        <v>345840</v>
      </c>
      <c r="AJ435" s="158">
        <v>0</v>
      </c>
      <c r="AK435" s="158">
        <v>345840</v>
      </c>
      <c r="AL435" s="158">
        <v>345840</v>
      </c>
      <c r="AM435" s="158">
        <v>3067200</v>
      </c>
      <c r="AN435" s="158">
        <v>345840</v>
      </c>
      <c r="AO435" s="158">
        <v>345840</v>
      </c>
      <c r="AP435" s="158">
        <v>345000</v>
      </c>
      <c r="AQ435" s="432">
        <v>0</v>
      </c>
      <c r="AR435" s="432">
        <v>0</v>
      </c>
      <c r="AS435" s="432">
        <v>0</v>
      </c>
      <c r="AT435" s="432">
        <v>0</v>
      </c>
      <c r="AU435" s="432">
        <v>0</v>
      </c>
      <c r="AV435" s="432">
        <v>0</v>
      </c>
      <c r="AW435" s="432">
        <v>0</v>
      </c>
      <c r="AX435" s="432">
        <v>0</v>
      </c>
      <c r="AY435" s="158">
        <v>0</v>
      </c>
      <c r="AZ435" s="158">
        <v>0</v>
      </c>
      <c r="BA435" s="158">
        <v>0</v>
      </c>
      <c r="BB435" s="158">
        <v>0</v>
      </c>
      <c r="BC435" s="158">
        <v>0</v>
      </c>
      <c r="BD435" s="158">
        <v>0</v>
      </c>
      <c r="BE435" s="158">
        <v>0</v>
      </c>
      <c r="BF435" s="160">
        <v>0</v>
      </c>
      <c r="BG435" s="383">
        <v>2023</v>
      </c>
      <c r="BH435" s="383">
        <v>1</v>
      </c>
      <c r="BI435" s="383">
        <v>19</v>
      </c>
      <c r="BK435" s="147" t="str">
        <f>IF(R435=SUM(Z435,AH435,AP435,AX435,BF435),"○","×")</f>
        <v>○</v>
      </c>
    </row>
    <row r="436" spans="1:63" x14ac:dyDescent="0.2">
      <c r="A436" s="428">
        <v>1634</v>
      </c>
      <c r="B436" s="429"/>
      <c r="C436" s="430"/>
      <c r="D436" s="429"/>
      <c r="E436" s="430"/>
      <c r="F436" s="429"/>
      <c r="G436" s="429"/>
      <c r="H436" s="430"/>
      <c r="I436" s="429"/>
      <c r="J436" s="429"/>
      <c r="K436" s="429"/>
      <c r="L436" s="383"/>
      <c r="M436" s="383" t="s">
        <v>753</v>
      </c>
      <c r="N436" s="383" t="s">
        <v>754</v>
      </c>
      <c r="O436" s="383" t="s">
        <v>484</v>
      </c>
      <c r="P436" s="383" t="s">
        <v>970</v>
      </c>
      <c r="Q436" s="383"/>
      <c r="R436" s="431">
        <v>3153000</v>
      </c>
      <c r="S436" s="158">
        <v>0</v>
      </c>
      <c r="T436" s="158">
        <v>0</v>
      </c>
      <c r="U436" s="158">
        <v>0</v>
      </c>
      <c r="V436" s="158">
        <v>0</v>
      </c>
      <c r="W436" s="158">
        <v>0</v>
      </c>
      <c r="X436" s="158">
        <v>0</v>
      </c>
      <c r="Y436" s="158">
        <v>0</v>
      </c>
      <c r="Z436" s="158">
        <v>0</v>
      </c>
      <c r="AA436" s="432">
        <v>0</v>
      </c>
      <c r="AB436" s="432">
        <v>0</v>
      </c>
      <c r="AC436" s="432">
        <v>0</v>
      </c>
      <c r="AD436" s="432">
        <v>0</v>
      </c>
      <c r="AE436" s="432">
        <v>0</v>
      </c>
      <c r="AF436" s="432">
        <v>0</v>
      </c>
      <c r="AG436" s="432">
        <v>0</v>
      </c>
      <c r="AH436" s="432">
        <v>0</v>
      </c>
      <c r="AI436" s="158">
        <v>4706120</v>
      </c>
      <c r="AJ436" s="158">
        <v>0</v>
      </c>
      <c r="AK436" s="158">
        <v>4706120</v>
      </c>
      <c r="AL436" s="158">
        <v>4706120</v>
      </c>
      <c r="AM436" s="158">
        <v>3153600</v>
      </c>
      <c r="AN436" s="158">
        <v>3153600</v>
      </c>
      <c r="AO436" s="158">
        <v>3153600</v>
      </c>
      <c r="AP436" s="158">
        <v>3153000</v>
      </c>
      <c r="AQ436" s="432">
        <v>0</v>
      </c>
      <c r="AR436" s="432">
        <v>0</v>
      </c>
      <c r="AS436" s="432">
        <v>0</v>
      </c>
      <c r="AT436" s="432">
        <v>0</v>
      </c>
      <c r="AU436" s="432">
        <v>0</v>
      </c>
      <c r="AV436" s="432">
        <v>0</v>
      </c>
      <c r="AW436" s="432">
        <v>0</v>
      </c>
      <c r="AX436" s="432">
        <v>0</v>
      </c>
      <c r="AY436" s="158">
        <v>0</v>
      </c>
      <c r="AZ436" s="158">
        <v>0</v>
      </c>
      <c r="BA436" s="158">
        <v>0</v>
      </c>
      <c r="BB436" s="158">
        <v>0</v>
      </c>
      <c r="BC436" s="158">
        <v>0</v>
      </c>
      <c r="BD436" s="158">
        <v>0</v>
      </c>
      <c r="BE436" s="158">
        <v>0</v>
      </c>
      <c r="BF436" s="160">
        <v>0</v>
      </c>
      <c r="BG436" s="383">
        <v>2023</v>
      </c>
      <c r="BH436" s="383">
        <v>1</v>
      </c>
      <c r="BI436" s="383">
        <v>19</v>
      </c>
      <c r="BK436" s="147" t="str">
        <f>IF(R436=SUM(Z436,AH436,AP436,AX436,BF436),"○","×")</f>
        <v>○</v>
      </c>
    </row>
    <row r="437" spans="1:63" x14ac:dyDescent="0.2">
      <c r="A437" s="428">
        <v>1635</v>
      </c>
      <c r="B437" s="429"/>
      <c r="C437" s="430"/>
      <c r="D437" s="429"/>
      <c r="E437" s="430"/>
      <c r="F437" s="429"/>
      <c r="G437" s="429"/>
      <c r="H437" s="430"/>
      <c r="I437" s="429"/>
      <c r="J437" s="429"/>
      <c r="K437" s="429"/>
      <c r="L437" s="383"/>
      <c r="M437" s="383" t="s">
        <v>637</v>
      </c>
      <c r="N437" s="383" t="s">
        <v>353</v>
      </c>
      <c r="O437" s="383" t="s">
        <v>638</v>
      </c>
      <c r="P437" s="383" t="s">
        <v>970</v>
      </c>
      <c r="Q437" s="383"/>
      <c r="R437" s="431">
        <v>20000</v>
      </c>
      <c r="S437" s="158">
        <v>0</v>
      </c>
      <c r="T437" s="158">
        <v>0</v>
      </c>
      <c r="U437" s="158">
        <v>0</v>
      </c>
      <c r="V437" s="158">
        <v>0</v>
      </c>
      <c r="W437" s="158">
        <v>0</v>
      </c>
      <c r="X437" s="158">
        <v>0</v>
      </c>
      <c r="Y437" s="158">
        <v>0</v>
      </c>
      <c r="Z437" s="158">
        <v>0</v>
      </c>
      <c r="AA437" s="432">
        <v>0</v>
      </c>
      <c r="AB437" s="432">
        <v>0</v>
      </c>
      <c r="AC437" s="432">
        <v>0</v>
      </c>
      <c r="AD437" s="432">
        <v>0</v>
      </c>
      <c r="AE437" s="432">
        <v>0</v>
      </c>
      <c r="AF437" s="432">
        <v>0</v>
      </c>
      <c r="AG437" s="432">
        <v>0</v>
      </c>
      <c r="AH437" s="432">
        <v>0</v>
      </c>
      <c r="AI437" s="158">
        <v>20000</v>
      </c>
      <c r="AJ437" s="158">
        <v>0</v>
      </c>
      <c r="AK437" s="158">
        <v>20000</v>
      </c>
      <c r="AL437" s="158">
        <v>20000</v>
      </c>
      <c r="AM437" s="158">
        <v>1029600</v>
      </c>
      <c r="AN437" s="158">
        <v>20000</v>
      </c>
      <c r="AO437" s="158">
        <v>20000</v>
      </c>
      <c r="AP437" s="158">
        <v>20000</v>
      </c>
      <c r="AQ437" s="432">
        <v>0</v>
      </c>
      <c r="AR437" s="432">
        <v>0</v>
      </c>
      <c r="AS437" s="432">
        <v>0</v>
      </c>
      <c r="AT437" s="432">
        <v>0</v>
      </c>
      <c r="AU437" s="432">
        <v>0</v>
      </c>
      <c r="AV437" s="432">
        <v>0</v>
      </c>
      <c r="AW437" s="432">
        <v>0</v>
      </c>
      <c r="AX437" s="432">
        <v>0</v>
      </c>
      <c r="AY437" s="158">
        <v>0</v>
      </c>
      <c r="AZ437" s="158">
        <v>0</v>
      </c>
      <c r="BA437" s="158">
        <v>0</v>
      </c>
      <c r="BB437" s="158">
        <v>0</v>
      </c>
      <c r="BC437" s="158">
        <v>0</v>
      </c>
      <c r="BD437" s="158">
        <v>0</v>
      </c>
      <c r="BE437" s="158">
        <v>0</v>
      </c>
      <c r="BF437" s="160">
        <v>0</v>
      </c>
      <c r="BG437" s="383">
        <v>2023</v>
      </c>
      <c r="BH437" s="383">
        <v>1</v>
      </c>
      <c r="BI437" s="383">
        <v>19</v>
      </c>
      <c r="BK437" s="147" t="str">
        <f>IF(R437=SUM(Z437,AH437,AP437,AX437,BF437),"○","×")</f>
        <v>○</v>
      </c>
    </row>
    <row r="438" spans="1:63" x14ac:dyDescent="0.2">
      <c r="A438" s="428">
        <v>1636</v>
      </c>
      <c r="B438" s="429"/>
      <c r="C438" s="430"/>
      <c r="D438" s="429"/>
      <c r="E438" s="430"/>
      <c r="F438" s="429"/>
      <c r="G438" s="429"/>
      <c r="H438" s="430"/>
      <c r="I438" s="429"/>
      <c r="J438" s="429"/>
      <c r="K438" s="429"/>
      <c r="L438" s="383"/>
      <c r="M438" s="383" t="s">
        <v>379</v>
      </c>
      <c r="N438" s="383" t="s">
        <v>323</v>
      </c>
      <c r="O438" s="383" t="s">
        <v>380</v>
      </c>
      <c r="P438" s="383" t="s">
        <v>970</v>
      </c>
      <c r="Q438" s="383"/>
      <c r="R438" s="431">
        <v>491000</v>
      </c>
      <c r="S438" s="158">
        <v>0</v>
      </c>
      <c r="T438" s="158">
        <v>0</v>
      </c>
      <c r="U438" s="158">
        <v>0</v>
      </c>
      <c r="V438" s="158">
        <v>0</v>
      </c>
      <c r="W438" s="158">
        <v>0</v>
      </c>
      <c r="X438" s="158">
        <v>0</v>
      </c>
      <c r="Y438" s="158">
        <v>0</v>
      </c>
      <c r="Z438" s="158">
        <v>0</v>
      </c>
      <c r="AA438" s="432">
        <v>0</v>
      </c>
      <c r="AB438" s="432">
        <v>0</v>
      </c>
      <c r="AC438" s="432">
        <v>0</v>
      </c>
      <c r="AD438" s="432">
        <v>0</v>
      </c>
      <c r="AE438" s="432">
        <v>0</v>
      </c>
      <c r="AF438" s="432">
        <v>0</v>
      </c>
      <c r="AG438" s="432">
        <v>0</v>
      </c>
      <c r="AH438" s="432">
        <v>0</v>
      </c>
      <c r="AI438" s="158">
        <v>491445</v>
      </c>
      <c r="AJ438" s="158">
        <v>0</v>
      </c>
      <c r="AK438" s="158">
        <v>491445</v>
      </c>
      <c r="AL438" s="158">
        <v>491445</v>
      </c>
      <c r="AM438" s="158">
        <v>4176000</v>
      </c>
      <c r="AN438" s="158">
        <v>491445</v>
      </c>
      <c r="AO438" s="158">
        <v>491445</v>
      </c>
      <c r="AP438" s="158">
        <v>491000</v>
      </c>
      <c r="AQ438" s="432">
        <v>0</v>
      </c>
      <c r="AR438" s="432">
        <v>0</v>
      </c>
      <c r="AS438" s="432">
        <v>0</v>
      </c>
      <c r="AT438" s="432">
        <v>0</v>
      </c>
      <c r="AU438" s="432">
        <v>0</v>
      </c>
      <c r="AV438" s="432">
        <v>0</v>
      </c>
      <c r="AW438" s="432">
        <v>0</v>
      </c>
      <c r="AX438" s="432">
        <v>0</v>
      </c>
      <c r="AY438" s="158">
        <v>0</v>
      </c>
      <c r="AZ438" s="158">
        <v>0</v>
      </c>
      <c r="BA438" s="158">
        <v>0</v>
      </c>
      <c r="BB438" s="158">
        <v>0</v>
      </c>
      <c r="BC438" s="158">
        <v>0</v>
      </c>
      <c r="BD438" s="158">
        <v>0</v>
      </c>
      <c r="BE438" s="158">
        <v>0</v>
      </c>
      <c r="BF438" s="160">
        <v>0</v>
      </c>
      <c r="BG438" s="383">
        <v>2023</v>
      </c>
      <c r="BH438" s="383">
        <v>1</v>
      </c>
      <c r="BI438" s="383">
        <v>19</v>
      </c>
      <c r="BK438" s="147" t="str">
        <f>IF(R438=SUM(Z438,AH438,AP438,AX438,BF438),"○","×")</f>
        <v>○</v>
      </c>
    </row>
    <row r="439" spans="1:63" x14ac:dyDescent="0.2">
      <c r="A439" s="428">
        <v>1637</v>
      </c>
      <c r="B439" s="429"/>
      <c r="C439" s="430"/>
      <c r="D439" s="429"/>
      <c r="E439" s="430"/>
      <c r="F439" s="429"/>
      <c r="G439" s="429"/>
      <c r="H439" s="430"/>
      <c r="I439" s="429"/>
      <c r="J439" s="429"/>
      <c r="K439" s="429"/>
      <c r="L439" s="383"/>
      <c r="M439" s="383" t="s">
        <v>849</v>
      </c>
      <c r="N439" s="383" t="s">
        <v>850</v>
      </c>
      <c r="O439" s="383" t="s">
        <v>502</v>
      </c>
      <c r="P439" s="383" t="s">
        <v>970</v>
      </c>
      <c r="Q439" s="383"/>
      <c r="R439" s="431">
        <v>371000</v>
      </c>
      <c r="S439" s="158">
        <v>0</v>
      </c>
      <c r="T439" s="158">
        <v>0</v>
      </c>
      <c r="U439" s="158">
        <v>0</v>
      </c>
      <c r="V439" s="158">
        <v>0</v>
      </c>
      <c r="W439" s="158">
        <v>0</v>
      </c>
      <c r="X439" s="158">
        <v>0</v>
      </c>
      <c r="Y439" s="158">
        <v>0</v>
      </c>
      <c r="Z439" s="158">
        <v>0</v>
      </c>
      <c r="AA439" s="432">
        <v>0</v>
      </c>
      <c r="AB439" s="432">
        <v>0</v>
      </c>
      <c r="AC439" s="432">
        <v>0</v>
      </c>
      <c r="AD439" s="432">
        <v>0</v>
      </c>
      <c r="AE439" s="432">
        <v>0</v>
      </c>
      <c r="AF439" s="432">
        <v>0</v>
      </c>
      <c r="AG439" s="432">
        <v>0</v>
      </c>
      <c r="AH439" s="432">
        <v>0</v>
      </c>
      <c r="AI439" s="158">
        <v>371220</v>
      </c>
      <c r="AJ439" s="158">
        <v>0</v>
      </c>
      <c r="AK439" s="158">
        <v>371220</v>
      </c>
      <c r="AL439" s="158">
        <v>371220</v>
      </c>
      <c r="AM439" s="158">
        <v>1576800</v>
      </c>
      <c r="AN439" s="158">
        <v>371220</v>
      </c>
      <c r="AO439" s="158">
        <v>371220</v>
      </c>
      <c r="AP439" s="158">
        <v>371000</v>
      </c>
      <c r="AQ439" s="432">
        <v>0</v>
      </c>
      <c r="AR439" s="432">
        <v>0</v>
      </c>
      <c r="AS439" s="432">
        <v>0</v>
      </c>
      <c r="AT439" s="432">
        <v>0</v>
      </c>
      <c r="AU439" s="432">
        <v>0</v>
      </c>
      <c r="AV439" s="432">
        <v>0</v>
      </c>
      <c r="AW439" s="432">
        <v>0</v>
      </c>
      <c r="AX439" s="432">
        <v>0</v>
      </c>
      <c r="AY439" s="158">
        <v>0</v>
      </c>
      <c r="AZ439" s="158">
        <v>0</v>
      </c>
      <c r="BA439" s="158">
        <v>0</v>
      </c>
      <c r="BB439" s="158">
        <v>0</v>
      </c>
      <c r="BC439" s="158">
        <v>0</v>
      </c>
      <c r="BD439" s="158">
        <v>0</v>
      </c>
      <c r="BE439" s="158">
        <v>0</v>
      </c>
      <c r="BF439" s="160">
        <v>0</v>
      </c>
      <c r="BG439" s="383">
        <v>2023</v>
      </c>
      <c r="BH439" s="383">
        <v>1</v>
      </c>
      <c r="BI439" s="383">
        <v>19</v>
      </c>
      <c r="BK439" s="147" t="str">
        <f>IF(R439=SUM(Z439,AH439,AP439,AX439,BF439),"○","×")</f>
        <v>○</v>
      </c>
    </row>
    <row r="440" spans="1:63" x14ac:dyDescent="0.2">
      <c r="A440" s="428">
        <v>1638</v>
      </c>
      <c r="B440" s="429"/>
      <c r="C440" s="430"/>
      <c r="D440" s="429"/>
      <c r="E440" s="430"/>
      <c r="F440" s="429"/>
      <c r="G440" s="429"/>
      <c r="H440" s="430"/>
      <c r="I440" s="429"/>
      <c r="J440" s="429"/>
      <c r="K440" s="429"/>
      <c r="L440" s="383"/>
      <c r="M440" s="383" t="s">
        <v>487</v>
      </c>
      <c r="N440" s="383" t="s">
        <v>372</v>
      </c>
      <c r="O440" s="383" t="s">
        <v>333</v>
      </c>
      <c r="P440" s="383" t="s">
        <v>970</v>
      </c>
      <c r="Q440" s="383"/>
      <c r="R440" s="431">
        <v>49000</v>
      </c>
      <c r="S440" s="158">
        <v>0</v>
      </c>
      <c r="T440" s="158">
        <v>0</v>
      </c>
      <c r="U440" s="158">
        <v>0</v>
      </c>
      <c r="V440" s="158">
        <v>0</v>
      </c>
      <c r="W440" s="158">
        <v>0</v>
      </c>
      <c r="X440" s="158">
        <v>0</v>
      </c>
      <c r="Y440" s="158">
        <v>0</v>
      </c>
      <c r="Z440" s="158">
        <v>0</v>
      </c>
      <c r="AA440" s="432">
        <v>0</v>
      </c>
      <c r="AB440" s="432">
        <v>0</v>
      </c>
      <c r="AC440" s="432">
        <v>0</v>
      </c>
      <c r="AD440" s="432">
        <v>0</v>
      </c>
      <c r="AE440" s="432">
        <v>0</v>
      </c>
      <c r="AF440" s="432">
        <v>0</v>
      </c>
      <c r="AG440" s="432">
        <v>0</v>
      </c>
      <c r="AH440" s="432">
        <v>0</v>
      </c>
      <c r="AI440" s="158">
        <v>49500</v>
      </c>
      <c r="AJ440" s="158">
        <v>0</v>
      </c>
      <c r="AK440" s="158">
        <v>49500</v>
      </c>
      <c r="AL440" s="158">
        <v>49500</v>
      </c>
      <c r="AM440" s="158">
        <v>2628000</v>
      </c>
      <c r="AN440" s="158">
        <v>49500</v>
      </c>
      <c r="AO440" s="158">
        <v>49500</v>
      </c>
      <c r="AP440" s="158">
        <v>49000</v>
      </c>
      <c r="AQ440" s="432">
        <v>0</v>
      </c>
      <c r="AR440" s="432">
        <v>0</v>
      </c>
      <c r="AS440" s="432">
        <v>0</v>
      </c>
      <c r="AT440" s="432">
        <v>0</v>
      </c>
      <c r="AU440" s="432">
        <v>0</v>
      </c>
      <c r="AV440" s="432">
        <v>0</v>
      </c>
      <c r="AW440" s="432">
        <v>0</v>
      </c>
      <c r="AX440" s="432">
        <v>0</v>
      </c>
      <c r="AY440" s="158">
        <v>0</v>
      </c>
      <c r="AZ440" s="158">
        <v>0</v>
      </c>
      <c r="BA440" s="158">
        <v>0</v>
      </c>
      <c r="BB440" s="158">
        <v>0</v>
      </c>
      <c r="BC440" s="158">
        <v>0</v>
      </c>
      <c r="BD440" s="158">
        <v>0</v>
      </c>
      <c r="BE440" s="158">
        <v>0</v>
      </c>
      <c r="BF440" s="160">
        <v>0</v>
      </c>
      <c r="BG440" s="383">
        <v>2023</v>
      </c>
      <c r="BH440" s="383">
        <v>1</v>
      </c>
      <c r="BI440" s="383">
        <v>19</v>
      </c>
      <c r="BK440" s="147" t="str">
        <f>IF(R440=SUM(Z440,AH440,AP440,AX440,BF440),"○","×")</f>
        <v>○</v>
      </c>
    </row>
    <row r="441" spans="1:63" x14ac:dyDescent="0.2">
      <c r="A441" s="428">
        <v>1639</v>
      </c>
      <c r="B441" s="429"/>
      <c r="C441" s="430"/>
      <c r="D441" s="429"/>
      <c r="E441" s="430"/>
      <c r="F441" s="429"/>
      <c r="G441" s="429"/>
      <c r="H441" s="430"/>
      <c r="I441" s="429"/>
      <c r="J441" s="429"/>
      <c r="K441" s="429"/>
      <c r="L441" s="383"/>
      <c r="M441" s="383" t="s">
        <v>851</v>
      </c>
      <c r="N441" s="383" t="s">
        <v>852</v>
      </c>
      <c r="O441" s="383" t="s">
        <v>378</v>
      </c>
      <c r="P441" s="383" t="s">
        <v>970</v>
      </c>
      <c r="Q441" s="383"/>
      <c r="R441" s="431">
        <v>70000</v>
      </c>
      <c r="S441" s="158">
        <v>0</v>
      </c>
      <c r="T441" s="158">
        <v>0</v>
      </c>
      <c r="U441" s="158">
        <v>0</v>
      </c>
      <c r="V441" s="158">
        <v>0</v>
      </c>
      <c r="W441" s="158">
        <v>0</v>
      </c>
      <c r="X441" s="158">
        <v>0</v>
      </c>
      <c r="Y441" s="158">
        <v>0</v>
      </c>
      <c r="Z441" s="158">
        <v>0</v>
      </c>
      <c r="AA441" s="432">
        <v>0</v>
      </c>
      <c r="AB441" s="432">
        <v>0</v>
      </c>
      <c r="AC441" s="432">
        <v>0</v>
      </c>
      <c r="AD441" s="432">
        <v>0</v>
      </c>
      <c r="AE441" s="432">
        <v>0</v>
      </c>
      <c r="AF441" s="432">
        <v>0</v>
      </c>
      <c r="AG441" s="432">
        <v>0</v>
      </c>
      <c r="AH441" s="432">
        <v>0</v>
      </c>
      <c r="AI441" s="158">
        <v>70544</v>
      </c>
      <c r="AJ441" s="158">
        <v>0</v>
      </c>
      <c r="AK441" s="158">
        <v>70544</v>
      </c>
      <c r="AL441" s="158">
        <v>70544</v>
      </c>
      <c r="AM441" s="158">
        <v>2178000</v>
      </c>
      <c r="AN441" s="158">
        <v>70544</v>
      </c>
      <c r="AO441" s="158">
        <v>70544</v>
      </c>
      <c r="AP441" s="158">
        <v>70000</v>
      </c>
      <c r="AQ441" s="432">
        <v>0</v>
      </c>
      <c r="AR441" s="432">
        <v>0</v>
      </c>
      <c r="AS441" s="432">
        <v>0</v>
      </c>
      <c r="AT441" s="432">
        <v>0</v>
      </c>
      <c r="AU441" s="432">
        <v>0</v>
      </c>
      <c r="AV441" s="432">
        <v>0</v>
      </c>
      <c r="AW441" s="432">
        <v>0</v>
      </c>
      <c r="AX441" s="432">
        <v>0</v>
      </c>
      <c r="AY441" s="158">
        <v>0</v>
      </c>
      <c r="AZ441" s="158">
        <v>0</v>
      </c>
      <c r="BA441" s="158">
        <v>0</v>
      </c>
      <c r="BB441" s="158">
        <v>0</v>
      </c>
      <c r="BC441" s="158">
        <v>0</v>
      </c>
      <c r="BD441" s="158">
        <v>0</v>
      </c>
      <c r="BE441" s="158">
        <v>0</v>
      </c>
      <c r="BF441" s="160">
        <v>0</v>
      </c>
      <c r="BG441" s="383">
        <v>2023</v>
      </c>
      <c r="BH441" s="383">
        <v>1</v>
      </c>
      <c r="BI441" s="383">
        <v>19</v>
      </c>
      <c r="BK441" s="147" t="str">
        <f>IF(R441=SUM(Z441,AH441,AP441,AX441,BF441),"○","×")</f>
        <v>○</v>
      </c>
    </row>
    <row r="442" spans="1:63" x14ac:dyDescent="0.2">
      <c r="A442" s="428">
        <v>1640</v>
      </c>
      <c r="B442" s="429"/>
      <c r="C442" s="430"/>
      <c r="D442" s="429"/>
      <c r="E442" s="430"/>
      <c r="F442" s="429"/>
      <c r="G442" s="429"/>
      <c r="H442" s="430"/>
      <c r="I442" s="429"/>
      <c r="J442" s="429"/>
      <c r="K442" s="429"/>
      <c r="L442" s="383"/>
      <c r="M442" s="383" t="s">
        <v>826</v>
      </c>
      <c r="N442" s="383" t="s">
        <v>340</v>
      </c>
      <c r="O442" s="383" t="s">
        <v>827</v>
      </c>
      <c r="P442" s="383" t="s">
        <v>970</v>
      </c>
      <c r="Q442" s="383"/>
      <c r="R442" s="431">
        <v>1377000</v>
      </c>
      <c r="S442" s="158">
        <v>0</v>
      </c>
      <c r="T442" s="158">
        <v>0</v>
      </c>
      <c r="U442" s="158">
        <v>0</v>
      </c>
      <c r="V442" s="158">
        <v>0</v>
      </c>
      <c r="W442" s="158">
        <v>0</v>
      </c>
      <c r="X442" s="158">
        <v>0</v>
      </c>
      <c r="Y442" s="158">
        <v>0</v>
      </c>
      <c r="Z442" s="158">
        <v>0</v>
      </c>
      <c r="AA442" s="432">
        <v>0</v>
      </c>
      <c r="AB442" s="432">
        <v>0</v>
      </c>
      <c r="AC442" s="432">
        <v>0</v>
      </c>
      <c r="AD442" s="432">
        <v>0</v>
      </c>
      <c r="AE442" s="432">
        <v>0</v>
      </c>
      <c r="AF442" s="432">
        <v>0</v>
      </c>
      <c r="AG442" s="432">
        <v>0</v>
      </c>
      <c r="AH442" s="432">
        <v>0</v>
      </c>
      <c r="AI442" s="158">
        <v>1377171</v>
      </c>
      <c r="AJ442" s="158">
        <v>0</v>
      </c>
      <c r="AK442" s="158">
        <v>1377171</v>
      </c>
      <c r="AL442" s="158">
        <v>1377171</v>
      </c>
      <c r="AM442" s="158">
        <v>1382400</v>
      </c>
      <c r="AN442" s="158">
        <v>1377171</v>
      </c>
      <c r="AO442" s="158">
        <v>1377171</v>
      </c>
      <c r="AP442" s="158">
        <v>1377000</v>
      </c>
      <c r="AQ442" s="432">
        <v>0</v>
      </c>
      <c r="AR442" s="432">
        <v>0</v>
      </c>
      <c r="AS442" s="432">
        <v>0</v>
      </c>
      <c r="AT442" s="432">
        <v>0</v>
      </c>
      <c r="AU442" s="432">
        <v>0</v>
      </c>
      <c r="AV442" s="432">
        <v>0</v>
      </c>
      <c r="AW442" s="432">
        <v>0</v>
      </c>
      <c r="AX442" s="432">
        <v>0</v>
      </c>
      <c r="AY442" s="158">
        <v>0</v>
      </c>
      <c r="AZ442" s="158">
        <v>0</v>
      </c>
      <c r="BA442" s="158">
        <v>0</v>
      </c>
      <c r="BB442" s="158">
        <v>0</v>
      </c>
      <c r="BC442" s="158">
        <v>0</v>
      </c>
      <c r="BD442" s="158">
        <v>0</v>
      </c>
      <c r="BE442" s="158">
        <v>0</v>
      </c>
      <c r="BF442" s="160">
        <v>0</v>
      </c>
      <c r="BG442" s="383">
        <v>2023</v>
      </c>
      <c r="BH442" s="383">
        <v>1</v>
      </c>
      <c r="BI442" s="383">
        <v>19</v>
      </c>
      <c r="BK442" s="147" t="str">
        <f>IF(R442=SUM(Z442,AH442,AP442,AX442,BF442),"○","×")</f>
        <v>○</v>
      </c>
    </row>
    <row r="443" spans="1:63" x14ac:dyDescent="0.2">
      <c r="A443" s="428">
        <v>1641</v>
      </c>
      <c r="B443" s="429"/>
      <c r="C443" s="430"/>
      <c r="D443" s="429"/>
      <c r="E443" s="430"/>
      <c r="F443" s="429"/>
      <c r="G443" s="429"/>
      <c r="H443" s="430"/>
      <c r="I443" s="429"/>
      <c r="J443" s="429"/>
      <c r="K443" s="429"/>
      <c r="L443" s="383"/>
      <c r="M443" s="383" t="s">
        <v>379</v>
      </c>
      <c r="N443" s="383" t="s">
        <v>323</v>
      </c>
      <c r="O443" s="383" t="s">
        <v>380</v>
      </c>
      <c r="P443" s="383" t="s">
        <v>970</v>
      </c>
      <c r="Q443" s="383"/>
      <c r="R443" s="431">
        <v>176000</v>
      </c>
      <c r="S443" s="158">
        <v>0</v>
      </c>
      <c r="T443" s="158">
        <v>0</v>
      </c>
      <c r="U443" s="158">
        <v>0</v>
      </c>
      <c r="V443" s="158">
        <v>0</v>
      </c>
      <c r="W443" s="158">
        <v>0</v>
      </c>
      <c r="X443" s="158">
        <v>0</v>
      </c>
      <c r="Y443" s="158">
        <v>0</v>
      </c>
      <c r="Z443" s="158">
        <v>0</v>
      </c>
      <c r="AA443" s="432">
        <v>0</v>
      </c>
      <c r="AB443" s="432">
        <v>0</v>
      </c>
      <c r="AC443" s="432">
        <v>0</v>
      </c>
      <c r="AD443" s="432">
        <v>0</v>
      </c>
      <c r="AE443" s="432">
        <v>0</v>
      </c>
      <c r="AF443" s="432">
        <v>0</v>
      </c>
      <c r="AG443" s="432">
        <v>0</v>
      </c>
      <c r="AH443" s="432">
        <v>0</v>
      </c>
      <c r="AI443" s="158">
        <v>176160</v>
      </c>
      <c r="AJ443" s="158">
        <v>0</v>
      </c>
      <c r="AK443" s="158">
        <v>176160</v>
      </c>
      <c r="AL443" s="158">
        <v>176160</v>
      </c>
      <c r="AM443" s="158">
        <v>1728000</v>
      </c>
      <c r="AN443" s="158">
        <v>176160</v>
      </c>
      <c r="AO443" s="158">
        <v>176160</v>
      </c>
      <c r="AP443" s="158">
        <v>176000</v>
      </c>
      <c r="AQ443" s="432">
        <v>0</v>
      </c>
      <c r="AR443" s="432">
        <v>0</v>
      </c>
      <c r="AS443" s="432">
        <v>0</v>
      </c>
      <c r="AT443" s="432">
        <v>0</v>
      </c>
      <c r="AU443" s="432">
        <v>0</v>
      </c>
      <c r="AV443" s="432">
        <v>0</v>
      </c>
      <c r="AW443" s="432">
        <v>0</v>
      </c>
      <c r="AX443" s="432">
        <v>0</v>
      </c>
      <c r="AY443" s="158">
        <v>0</v>
      </c>
      <c r="AZ443" s="158">
        <v>0</v>
      </c>
      <c r="BA443" s="158">
        <v>0</v>
      </c>
      <c r="BB443" s="158">
        <v>0</v>
      </c>
      <c r="BC443" s="158">
        <v>0</v>
      </c>
      <c r="BD443" s="158">
        <v>0</v>
      </c>
      <c r="BE443" s="158">
        <v>0</v>
      </c>
      <c r="BF443" s="160">
        <v>0</v>
      </c>
      <c r="BG443" s="383">
        <v>2023</v>
      </c>
      <c r="BH443" s="383">
        <v>1</v>
      </c>
      <c r="BI443" s="383">
        <v>19</v>
      </c>
      <c r="BK443" s="147" t="str">
        <f>IF(R443=SUM(Z443,AH443,AP443,AX443,BF443),"○","×")</f>
        <v>○</v>
      </c>
    </row>
    <row r="444" spans="1:63" x14ac:dyDescent="0.2">
      <c r="A444" s="428">
        <v>1642</v>
      </c>
      <c r="B444" s="429"/>
      <c r="C444" s="430"/>
      <c r="D444" s="429"/>
      <c r="E444" s="430"/>
      <c r="F444" s="429"/>
      <c r="G444" s="429"/>
      <c r="H444" s="430"/>
      <c r="I444" s="429"/>
      <c r="J444" s="429"/>
      <c r="K444" s="429"/>
      <c r="L444" s="383"/>
      <c r="M444" s="383" t="s">
        <v>853</v>
      </c>
      <c r="N444" s="383" t="s">
        <v>329</v>
      </c>
      <c r="O444" s="383" t="s">
        <v>466</v>
      </c>
      <c r="P444" s="383" t="s">
        <v>970</v>
      </c>
      <c r="Q444" s="383"/>
      <c r="R444" s="431">
        <v>61000</v>
      </c>
      <c r="S444" s="158">
        <v>0</v>
      </c>
      <c r="T444" s="158">
        <v>0</v>
      </c>
      <c r="U444" s="158">
        <v>0</v>
      </c>
      <c r="V444" s="158">
        <v>0</v>
      </c>
      <c r="W444" s="158">
        <v>0</v>
      </c>
      <c r="X444" s="158">
        <v>0</v>
      </c>
      <c r="Y444" s="158">
        <v>0</v>
      </c>
      <c r="Z444" s="158">
        <v>0</v>
      </c>
      <c r="AA444" s="432">
        <v>0</v>
      </c>
      <c r="AB444" s="432">
        <v>0</v>
      </c>
      <c r="AC444" s="432">
        <v>0</v>
      </c>
      <c r="AD444" s="432">
        <v>0</v>
      </c>
      <c r="AE444" s="432">
        <v>0</v>
      </c>
      <c r="AF444" s="432">
        <v>0</v>
      </c>
      <c r="AG444" s="432">
        <v>0</v>
      </c>
      <c r="AH444" s="432">
        <v>0</v>
      </c>
      <c r="AI444" s="158">
        <v>61160</v>
      </c>
      <c r="AJ444" s="158">
        <v>0</v>
      </c>
      <c r="AK444" s="158">
        <v>61160</v>
      </c>
      <c r="AL444" s="158">
        <v>61160</v>
      </c>
      <c r="AM444" s="158">
        <v>2574000</v>
      </c>
      <c r="AN444" s="158">
        <v>61160</v>
      </c>
      <c r="AO444" s="158">
        <v>61160</v>
      </c>
      <c r="AP444" s="158">
        <v>61000</v>
      </c>
      <c r="AQ444" s="432">
        <v>0</v>
      </c>
      <c r="AR444" s="432">
        <v>0</v>
      </c>
      <c r="AS444" s="432">
        <v>0</v>
      </c>
      <c r="AT444" s="432">
        <v>0</v>
      </c>
      <c r="AU444" s="432">
        <v>0</v>
      </c>
      <c r="AV444" s="432">
        <v>0</v>
      </c>
      <c r="AW444" s="432">
        <v>0</v>
      </c>
      <c r="AX444" s="432">
        <v>0</v>
      </c>
      <c r="AY444" s="158">
        <v>0</v>
      </c>
      <c r="AZ444" s="158">
        <v>0</v>
      </c>
      <c r="BA444" s="158">
        <v>0</v>
      </c>
      <c r="BB444" s="158">
        <v>0</v>
      </c>
      <c r="BC444" s="158">
        <v>0</v>
      </c>
      <c r="BD444" s="158">
        <v>0</v>
      </c>
      <c r="BE444" s="158">
        <v>0</v>
      </c>
      <c r="BF444" s="160">
        <v>0</v>
      </c>
      <c r="BG444" s="383">
        <v>2023</v>
      </c>
      <c r="BH444" s="383">
        <v>1</v>
      </c>
      <c r="BI444" s="383">
        <v>19</v>
      </c>
      <c r="BK444" s="147" t="str">
        <f>IF(R444=SUM(Z444,AH444,AP444,AX444,BF444),"○","×")</f>
        <v>○</v>
      </c>
    </row>
    <row r="445" spans="1:63" x14ac:dyDescent="0.2">
      <c r="A445" s="428">
        <v>1643</v>
      </c>
      <c r="B445" s="429"/>
      <c r="C445" s="430"/>
      <c r="D445" s="429"/>
      <c r="E445" s="430"/>
      <c r="F445" s="429"/>
      <c r="G445" s="429"/>
      <c r="H445" s="430"/>
      <c r="I445" s="429"/>
      <c r="J445" s="429"/>
      <c r="K445" s="429"/>
      <c r="L445" s="383"/>
      <c r="M445" s="383" t="s">
        <v>854</v>
      </c>
      <c r="N445" s="383" t="s">
        <v>367</v>
      </c>
      <c r="O445" s="383" t="s">
        <v>695</v>
      </c>
      <c r="P445" s="383" t="s">
        <v>970</v>
      </c>
      <c r="Q445" s="383"/>
      <c r="R445" s="431">
        <v>288000</v>
      </c>
      <c r="S445" s="158">
        <v>0</v>
      </c>
      <c r="T445" s="158">
        <v>0</v>
      </c>
      <c r="U445" s="158">
        <v>0</v>
      </c>
      <c r="V445" s="158">
        <v>0</v>
      </c>
      <c r="W445" s="158">
        <v>0</v>
      </c>
      <c r="X445" s="158">
        <v>0</v>
      </c>
      <c r="Y445" s="158">
        <v>0</v>
      </c>
      <c r="Z445" s="158">
        <v>0</v>
      </c>
      <c r="AA445" s="432">
        <v>0</v>
      </c>
      <c r="AB445" s="432">
        <v>0</v>
      </c>
      <c r="AC445" s="432">
        <v>0</v>
      </c>
      <c r="AD445" s="432">
        <v>0</v>
      </c>
      <c r="AE445" s="432">
        <v>0</v>
      </c>
      <c r="AF445" s="432">
        <v>0</v>
      </c>
      <c r="AG445" s="432">
        <v>0</v>
      </c>
      <c r="AH445" s="432">
        <v>0</v>
      </c>
      <c r="AI445" s="158">
        <v>288301</v>
      </c>
      <c r="AJ445" s="158">
        <v>0</v>
      </c>
      <c r="AK445" s="158">
        <v>288301</v>
      </c>
      <c r="AL445" s="158">
        <v>288301</v>
      </c>
      <c r="AM445" s="158">
        <v>4165200</v>
      </c>
      <c r="AN445" s="158">
        <v>288301</v>
      </c>
      <c r="AO445" s="158">
        <v>288301</v>
      </c>
      <c r="AP445" s="158">
        <v>288000</v>
      </c>
      <c r="AQ445" s="432">
        <v>0</v>
      </c>
      <c r="AR445" s="432">
        <v>0</v>
      </c>
      <c r="AS445" s="432">
        <v>0</v>
      </c>
      <c r="AT445" s="432">
        <v>0</v>
      </c>
      <c r="AU445" s="432">
        <v>0</v>
      </c>
      <c r="AV445" s="432">
        <v>0</v>
      </c>
      <c r="AW445" s="432">
        <v>0</v>
      </c>
      <c r="AX445" s="432">
        <v>0</v>
      </c>
      <c r="AY445" s="158">
        <v>0</v>
      </c>
      <c r="AZ445" s="158">
        <v>0</v>
      </c>
      <c r="BA445" s="158">
        <v>0</v>
      </c>
      <c r="BB445" s="158">
        <v>0</v>
      </c>
      <c r="BC445" s="158">
        <v>0</v>
      </c>
      <c r="BD445" s="158">
        <v>0</v>
      </c>
      <c r="BE445" s="158">
        <v>0</v>
      </c>
      <c r="BF445" s="160">
        <v>0</v>
      </c>
      <c r="BG445" s="383">
        <v>2023</v>
      </c>
      <c r="BH445" s="383">
        <v>1</v>
      </c>
      <c r="BI445" s="383">
        <v>19</v>
      </c>
      <c r="BK445" s="147" t="str">
        <f>IF(R445=SUM(Z445,AH445,AP445,AX445,BF445),"○","×")</f>
        <v>○</v>
      </c>
    </row>
    <row r="446" spans="1:63" x14ac:dyDescent="0.2">
      <c r="A446" s="428">
        <v>1644</v>
      </c>
      <c r="B446" s="429"/>
      <c r="C446" s="430"/>
      <c r="D446" s="429"/>
      <c r="E446" s="430"/>
      <c r="F446" s="429"/>
      <c r="G446" s="429"/>
      <c r="H446" s="430"/>
      <c r="I446" s="429"/>
      <c r="J446" s="429"/>
      <c r="K446" s="429"/>
      <c r="L446" s="383"/>
      <c r="M446" s="383" t="s">
        <v>855</v>
      </c>
      <c r="N446" s="383" t="s">
        <v>340</v>
      </c>
      <c r="O446" s="383" t="s">
        <v>630</v>
      </c>
      <c r="P446" s="383" t="s">
        <v>970</v>
      </c>
      <c r="Q446" s="383"/>
      <c r="R446" s="431">
        <v>74000</v>
      </c>
      <c r="S446" s="158">
        <v>0</v>
      </c>
      <c r="T446" s="158">
        <v>0</v>
      </c>
      <c r="U446" s="158">
        <v>0</v>
      </c>
      <c r="V446" s="158">
        <v>0</v>
      </c>
      <c r="W446" s="158">
        <v>0</v>
      </c>
      <c r="X446" s="158">
        <v>0</v>
      </c>
      <c r="Y446" s="158">
        <v>0</v>
      </c>
      <c r="Z446" s="158">
        <v>0</v>
      </c>
      <c r="AA446" s="432">
        <v>0</v>
      </c>
      <c r="AB446" s="432">
        <v>0</v>
      </c>
      <c r="AC446" s="432">
        <v>0</v>
      </c>
      <c r="AD446" s="432">
        <v>0</v>
      </c>
      <c r="AE446" s="432">
        <v>0</v>
      </c>
      <c r="AF446" s="432">
        <v>0</v>
      </c>
      <c r="AG446" s="432">
        <v>0</v>
      </c>
      <c r="AH446" s="432">
        <v>0</v>
      </c>
      <c r="AI446" s="158">
        <v>74688</v>
      </c>
      <c r="AJ446" s="158">
        <v>0</v>
      </c>
      <c r="AK446" s="158">
        <v>74688</v>
      </c>
      <c r="AL446" s="158">
        <v>74688</v>
      </c>
      <c r="AM446" s="158">
        <v>4633200</v>
      </c>
      <c r="AN446" s="158">
        <v>74688</v>
      </c>
      <c r="AO446" s="158">
        <v>74688</v>
      </c>
      <c r="AP446" s="158">
        <v>74000</v>
      </c>
      <c r="AQ446" s="432">
        <v>0</v>
      </c>
      <c r="AR446" s="432">
        <v>0</v>
      </c>
      <c r="AS446" s="432">
        <v>0</v>
      </c>
      <c r="AT446" s="432">
        <v>0</v>
      </c>
      <c r="AU446" s="432">
        <v>0</v>
      </c>
      <c r="AV446" s="432">
        <v>0</v>
      </c>
      <c r="AW446" s="432">
        <v>0</v>
      </c>
      <c r="AX446" s="432">
        <v>0</v>
      </c>
      <c r="AY446" s="158">
        <v>0</v>
      </c>
      <c r="AZ446" s="158">
        <v>0</v>
      </c>
      <c r="BA446" s="158">
        <v>0</v>
      </c>
      <c r="BB446" s="158">
        <v>0</v>
      </c>
      <c r="BC446" s="158">
        <v>0</v>
      </c>
      <c r="BD446" s="158">
        <v>0</v>
      </c>
      <c r="BE446" s="158">
        <v>0</v>
      </c>
      <c r="BF446" s="160">
        <v>0</v>
      </c>
      <c r="BG446" s="383">
        <v>2023</v>
      </c>
      <c r="BH446" s="383">
        <v>1</v>
      </c>
      <c r="BI446" s="383">
        <v>19</v>
      </c>
      <c r="BK446" s="147" t="str">
        <f>IF(R446=SUM(Z446,AH446,AP446,AX446,BF446),"○","×")</f>
        <v>○</v>
      </c>
    </row>
    <row r="447" spans="1:63" x14ac:dyDescent="0.2">
      <c r="A447" s="428">
        <v>1645</v>
      </c>
      <c r="B447" s="429"/>
      <c r="C447" s="430"/>
      <c r="D447" s="429"/>
      <c r="E447" s="430"/>
      <c r="F447" s="429"/>
      <c r="G447" s="429"/>
      <c r="H447" s="430"/>
      <c r="I447" s="429"/>
      <c r="J447" s="429"/>
      <c r="K447" s="429"/>
      <c r="L447" s="383"/>
      <c r="M447" s="383" t="s">
        <v>856</v>
      </c>
      <c r="N447" s="383" t="s">
        <v>353</v>
      </c>
      <c r="O447" s="383" t="s">
        <v>530</v>
      </c>
      <c r="P447" s="383" t="s">
        <v>970</v>
      </c>
      <c r="Q447" s="383"/>
      <c r="R447" s="431">
        <v>639000</v>
      </c>
      <c r="S447" s="158">
        <v>0</v>
      </c>
      <c r="T447" s="158">
        <v>0</v>
      </c>
      <c r="U447" s="158">
        <v>0</v>
      </c>
      <c r="V447" s="158">
        <v>0</v>
      </c>
      <c r="W447" s="158">
        <v>0</v>
      </c>
      <c r="X447" s="158">
        <v>0</v>
      </c>
      <c r="Y447" s="158">
        <v>0</v>
      </c>
      <c r="Z447" s="158">
        <v>0</v>
      </c>
      <c r="AA447" s="432">
        <v>0</v>
      </c>
      <c r="AB447" s="432">
        <v>0</v>
      </c>
      <c r="AC447" s="432">
        <v>0</v>
      </c>
      <c r="AD447" s="432">
        <v>0</v>
      </c>
      <c r="AE447" s="432">
        <v>0</v>
      </c>
      <c r="AF447" s="432">
        <v>0</v>
      </c>
      <c r="AG447" s="432">
        <v>0</v>
      </c>
      <c r="AH447" s="432">
        <v>0</v>
      </c>
      <c r="AI447" s="158">
        <v>639605</v>
      </c>
      <c r="AJ447" s="158">
        <v>0</v>
      </c>
      <c r="AK447" s="158">
        <v>639605</v>
      </c>
      <c r="AL447" s="158">
        <v>639605</v>
      </c>
      <c r="AM447" s="158">
        <v>2973600</v>
      </c>
      <c r="AN447" s="158">
        <v>639605</v>
      </c>
      <c r="AO447" s="158">
        <v>639605</v>
      </c>
      <c r="AP447" s="158">
        <v>639000</v>
      </c>
      <c r="AQ447" s="432">
        <v>0</v>
      </c>
      <c r="AR447" s="432">
        <v>0</v>
      </c>
      <c r="AS447" s="432">
        <v>0</v>
      </c>
      <c r="AT447" s="432">
        <v>0</v>
      </c>
      <c r="AU447" s="432">
        <v>0</v>
      </c>
      <c r="AV447" s="432">
        <v>0</v>
      </c>
      <c r="AW447" s="432">
        <v>0</v>
      </c>
      <c r="AX447" s="432">
        <v>0</v>
      </c>
      <c r="AY447" s="158">
        <v>0</v>
      </c>
      <c r="AZ447" s="158">
        <v>0</v>
      </c>
      <c r="BA447" s="158">
        <v>0</v>
      </c>
      <c r="BB447" s="158">
        <v>0</v>
      </c>
      <c r="BC447" s="158">
        <v>0</v>
      </c>
      <c r="BD447" s="158">
        <v>0</v>
      </c>
      <c r="BE447" s="158">
        <v>0</v>
      </c>
      <c r="BF447" s="160">
        <v>0</v>
      </c>
      <c r="BG447" s="383">
        <v>2023</v>
      </c>
      <c r="BH447" s="383">
        <v>1</v>
      </c>
      <c r="BI447" s="383">
        <v>19</v>
      </c>
      <c r="BK447" s="147" t="str">
        <f>IF(R447=SUM(Z447,AH447,AP447,AX447,BF447),"○","×")</f>
        <v>○</v>
      </c>
    </row>
    <row r="448" spans="1:63" x14ac:dyDescent="0.2">
      <c r="A448" s="428">
        <v>1646</v>
      </c>
      <c r="B448" s="429"/>
      <c r="C448" s="430"/>
      <c r="D448" s="429"/>
      <c r="E448" s="430"/>
      <c r="F448" s="429"/>
      <c r="G448" s="429"/>
      <c r="H448" s="430"/>
      <c r="I448" s="429"/>
      <c r="J448" s="429"/>
      <c r="K448" s="429"/>
      <c r="L448" s="383"/>
      <c r="M448" s="383" t="s">
        <v>857</v>
      </c>
      <c r="N448" s="383" t="s">
        <v>360</v>
      </c>
      <c r="O448" s="383" t="s">
        <v>617</v>
      </c>
      <c r="P448" s="383" t="s">
        <v>970</v>
      </c>
      <c r="Q448" s="383"/>
      <c r="R448" s="431">
        <v>541000</v>
      </c>
      <c r="S448" s="158">
        <v>0</v>
      </c>
      <c r="T448" s="158">
        <v>0</v>
      </c>
      <c r="U448" s="158">
        <v>0</v>
      </c>
      <c r="V448" s="158">
        <v>0</v>
      </c>
      <c r="W448" s="158">
        <v>0</v>
      </c>
      <c r="X448" s="158">
        <v>0</v>
      </c>
      <c r="Y448" s="158">
        <v>0</v>
      </c>
      <c r="Z448" s="158">
        <v>0</v>
      </c>
      <c r="AA448" s="432">
        <v>0</v>
      </c>
      <c r="AB448" s="432">
        <v>0</v>
      </c>
      <c r="AC448" s="432">
        <v>0</v>
      </c>
      <c r="AD448" s="432">
        <v>0</v>
      </c>
      <c r="AE448" s="432">
        <v>0</v>
      </c>
      <c r="AF448" s="432">
        <v>0</v>
      </c>
      <c r="AG448" s="432">
        <v>0</v>
      </c>
      <c r="AH448" s="432">
        <v>0</v>
      </c>
      <c r="AI448" s="158">
        <v>541200</v>
      </c>
      <c r="AJ448" s="158">
        <v>0</v>
      </c>
      <c r="AK448" s="158">
        <v>541200</v>
      </c>
      <c r="AL448" s="158">
        <v>541200</v>
      </c>
      <c r="AM448" s="158">
        <v>2059200</v>
      </c>
      <c r="AN448" s="158">
        <v>541200</v>
      </c>
      <c r="AO448" s="158">
        <v>541200</v>
      </c>
      <c r="AP448" s="158">
        <v>541000</v>
      </c>
      <c r="AQ448" s="432">
        <v>0</v>
      </c>
      <c r="AR448" s="432">
        <v>0</v>
      </c>
      <c r="AS448" s="432">
        <v>0</v>
      </c>
      <c r="AT448" s="432">
        <v>0</v>
      </c>
      <c r="AU448" s="432">
        <v>0</v>
      </c>
      <c r="AV448" s="432">
        <v>0</v>
      </c>
      <c r="AW448" s="432">
        <v>0</v>
      </c>
      <c r="AX448" s="432">
        <v>0</v>
      </c>
      <c r="AY448" s="158">
        <v>0</v>
      </c>
      <c r="AZ448" s="158">
        <v>0</v>
      </c>
      <c r="BA448" s="158">
        <v>0</v>
      </c>
      <c r="BB448" s="158">
        <v>0</v>
      </c>
      <c r="BC448" s="158">
        <v>0</v>
      </c>
      <c r="BD448" s="158">
        <v>0</v>
      </c>
      <c r="BE448" s="158">
        <v>0</v>
      </c>
      <c r="BF448" s="160">
        <v>0</v>
      </c>
      <c r="BG448" s="383">
        <v>2023</v>
      </c>
      <c r="BH448" s="383">
        <v>1</v>
      </c>
      <c r="BI448" s="383">
        <v>19</v>
      </c>
      <c r="BK448" s="147" t="str">
        <f>IF(R448=SUM(Z448,AH448,AP448,AX448,BF448),"○","×")</f>
        <v>○</v>
      </c>
    </row>
    <row r="449" spans="1:63" x14ac:dyDescent="0.2">
      <c r="A449" s="428">
        <v>1647</v>
      </c>
      <c r="B449" s="429"/>
      <c r="C449" s="430"/>
      <c r="D449" s="429"/>
      <c r="E449" s="430"/>
      <c r="F449" s="429"/>
      <c r="G449" s="429"/>
      <c r="H449" s="430"/>
      <c r="I449" s="429"/>
      <c r="J449" s="429"/>
      <c r="K449" s="429"/>
      <c r="L449" s="383"/>
      <c r="M449" s="383" t="s">
        <v>858</v>
      </c>
      <c r="N449" s="383" t="s">
        <v>329</v>
      </c>
      <c r="O449" s="383" t="s">
        <v>695</v>
      </c>
      <c r="P449" s="383" t="s">
        <v>970</v>
      </c>
      <c r="Q449" s="383"/>
      <c r="R449" s="431">
        <v>807000</v>
      </c>
      <c r="S449" s="158">
        <v>0</v>
      </c>
      <c r="T449" s="158">
        <v>0</v>
      </c>
      <c r="U449" s="158">
        <v>0</v>
      </c>
      <c r="V449" s="158">
        <v>0</v>
      </c>
      <c r="W449" s="158">
        <v>0</v>
      </c>
      <c r="X449" s="158">
        <v>0</v>
      </c>
      <c r="Y449" s="158">
        <v>0</v>
      </c>
      <c r="Z449" s="158">
        <v>0</v>
      </c>
      <c r="AA449" s="432">
        <v>0</v>
      </c>
      <c r="AB449" s="432">
        <v>0</v>
      </c>
      <c r="AC449" s="432">
        <v>0</v>
      </c>
      <c r="AD449" s="432">
        <v>0</v>
      </c>
      <c r="AE449" s="432">
        <v>0</v>
      </c>
      <c r="AF449" s="432">
        <v>0</v>
      </c>
      <c r="AG449" s="432">
        <v>0</v>
      </c>
      <c r="AH449" s="432">
        <v>0</v>
      </c>
      <c r="AI449" s="158">
        <v>807600</v>
      </c>
      <c r="AJ449" s="158">
        <v>0</v>
      </c>
      <c r="AK449" s="158">
        <v>807600</v>
      </c>
      <c r="AL449" s="158">
        <v>807600</v>
      </c>
      <c r="AM449" s="158">
        <v>1742400</v>
      </c>
      <c r="AN449" s="158">
        <v>807600</v>
      </c>
      <c r="AO449" s="158">
        <v>807600</v>
      </c>
      <c r="AP449" s="158">
        <v>807000</v>
      </c>
      <c r="AQ449" s="432">
        <v>0</v>
      </c>
      <c r="AR449" s="432">
        <v>0</v>
      </c>
      <c r="AS449" s="432">
        <v>0</v>
      </c>
      <c r="AT449" s="432">
        <v>0</v>
      </c>
      <c r="AU449" s="432">
        <v>0</v>
      </c>
      <c r="AV449" s="432">
        <v>0</v>
      </c>
      <c r="AW449" s="432">
        <v>0</v>
      </c>
      <c r="AX449" s="432">
        <v>0</v>
      </c>
      <c r="AY449" s="158">
        <v>0</v>
      </c>
      <c r="AZ449" s="158">
        <v>0</v>
      </c>
      <c r="BA449" s="158">
        <v>0</v>
      </c>
      <c r="BB449" s="158">
        <v>0</v>
      </c>
      <c r="BC449" s="158">
        <v>0</v>
      </c>
      <c r="BD449" s="158">
        <v>0</v>
      </c>
      <c r="BE449" s="158">
        <v>0</v>
      </c>
      <c r="BF449" s="160">
        <v>0</v>
      </c>
      <c r="BG449" s="383">
        <v>2023</v>
      </c>
      <c r="BH449" s="383">
        <v>1</v>
      </c>
      <c r="BI449" s="383">
        <v>19</v>
      </c>
      <c r="BK449" s="147" t="str">
        <f>IF(R449=SUM(Z449,AH449,AP449,AX449,BF449),"○","×")</f>
        <v>○</v>
      </c>
    </row>
    <row r="450" spans="1:63" x14ac:dyDescent="0.2">
      <c r="A450" s="428">
        <v>1648</v>
      </c>
      <c r="B450" s="429"/>
      <c r="C450" s="430"/>
      <c r="D450" s="429"/>
      <c r="E450" s="430"/>
      <c r="F450" s="429"/>
      <c r="G450" s="429"/>
      <c r="H450" s="430"/>
      <c r="I450" s="429"/>
      <c r="J450" s="429"/>
      <c r="K450" s="429"/>
      <c r="L450" s="383"/>
      <c r="M450" s="383" t="s">
        <v>552</v>
      </c>
      <c r="N450" s="383" t="s">
        <v>353</v>
      </c>
      <c r="O450" s="383" t="s">
        <v>346</v>
      </c>
      <c r="P450" s="383" t="s">
        <v>970</v>
      </c>
      <c r="Q450" s="383"/>
      <c r="R450" s="431">
        <v>109000</v>
      </c>
      <c r="S450" s="158">
        <v>0</v>
      </c>
      <c r="T450" s="158">
        <v>0</v>
      </c>
      <c r="U450" s="158">
        <v>0</v>
      </c>
      <c r="V450" s="158">
        <v>0</v>
      </c>
      <c r="W450" s="158">
        <v>0</v>
      </c>
      <c r="X450" s="158">
        <v>0</v>
      </c>
      <c r="Y450" s="158">
        <v>0</v>
      </c>
      <c r="Z450" s="158">
        <v>0</v>
      </c>
      <c r="AA450" s="432">
        <v>0</v>
      </c>
      <c r="AB450" s="432">
        <v>0</v>
      </c>
      <c r="AC450" s="432">
        <v>0</v>
      </c>
      <c r="AD450" s="432">
        <v>0</v>
      </c>
      <c r="AE450" s="432">
        <v>0</v>
      </c>
      <c r="AF450" s="432">
        <v>0</v>
      </c>
      <c r="AG450" s="432">
        <v>0</v>
      </c>
      <c r="AH450" s="432">
        <v>0</v>
      </c>
      <c r="AI450" s="158">
        <v>109930</v>
      </c>
      <c r="AJ450" s="158">
        <v>0</v>
      </c>
      <c r="AK450" s="158">
        <v>109930</v>
      </c>
      <c r="AL450" s="158">
        <v>109930</v>
      </c>
      <c r="AM450" s="158">
        <v>1026000</v>
      </c>
      <c r="AN450" s="158">
        <v>109930</v>
      </c>
      <c r="AO450" s="158">
        <v>109930</v>
      </c>
      <c r="AP450" s="158">
        <v>109000</v>
      </c>
      <c r="AQ450" s="432">
        <v>0</v>
      </c>
      <c r="AR450" s="432">
        <v>0</v>
      </c>
      <c r="AS450" s="432">
        <v>0</v>
      </c>
      <c r="AT450" s="432">
        <v>0</v>
      </c>
      <c r="AU450" s="432">
        <v>0</v>
      </c>
      <c r="AV450" s="432">
        <v>0</v>
      </c>
      <c r="AW450" s="432">
        <v>0</v>
      </c>
      <c r="AX450" s="432">
        <v>0</v>
      </c>
      <c r="AY450" s="158">
        <v>0</v>
      </c>
      <c r="AZ450" s="158">
        <v>0</v>
      </c>
      <c r="BA450" s="158">
        <v>0</v>
      </c>
      <c r="BB450" s="158">
        <v>0</v>
      </c>
      <c r="BC450" s="158">
        <v>0</v>
      </c>
      <c r="BD450" s="158">
        <v>0</v>
      </c>
      <c r="BE450" s="158">
        <v>0</v>
      </c>
      <c r="BF450" s="160">
        <v>0</v>
      </c>
      <c r="BG450" s="383">
        <v>2023</v>
      </c>
      <c r="BH450" s="383">
        <v>1</v>
      </c>
      <c r="BI450" s="383">
        <v>19</v>
      </c>
      <c r="BK450" s="147" t="str">
        <f>IF(R450=SUM(Z450,AH450,AP450,AX450,BF450),"○","×")</f>
        <v>○</v>
      </c>
    </row>
    <row r="451" spans="1:63" x14ac:dyDescent="0.2">
      <c r="A451" s="428">
        <v>1649</v>
      </c>
      <c r="B451" s="429"/>
      <c r="C451" s="430"/>
      <c r="D451" s="429"/>
      <c r="E451" s="430"/>
      <c r="F451" s="429"/>
      <c r="G451" s="429"/>
      <c r="H451" s="430"/>
      <c r="I451" s="429"/>
      <c r="J451" s="429"/>
      <c r="K451" s="429"/>
      <c r="L451" s="383"/>
      <c r="M451" s="383" t="s">
        <v>693</v>
      </c>
      <c r="N451" s="383" t="s">
        <v>343</v>
      </c>
      <c r="O451" s="383" t="s">
        <v>462</v>
      </c>
      <c r="P451" s="383" t="s">
        <v>970</v>
      </c>
      <c r="Q451" s="383"/>
      <c r="R451" s="431">
        <v>489000</v>
      </c>
      <c r="S451" s="158">
        <v>0</v>
      </c>
      <c r="T451" s="158">
        <v>0</v>
      </c>
      <c r="U451" s="158">
        <v>0</v>
      </c>
      <c r="V451" s="158">
        <v>0</v>
      </c>
      <c r="W451" s="158">
        <v>0</v>
      </c>
      <c r="X451" s="158">
        <v>0</v>
      </c>
      <c r="Y451" s="158">
        <v>0</v>
      </c>
      <c r="Z451" s="158">
        <v>0</v>
      </c>
      <c r="AA451" s="432">
        <v>0</v>
      </c>
      <c r="AB451" s="432">
        <v>0</v>
      </c>
      <c r="AC451" s="432">
        <v>0</v>
      </c>
      <c r="AD451" s="432">
        <v>0</v>
      </c>
      <c r="AE451" s="432">
        <v>0</v>
      </c>
      <c r="AF451" s="432">
        <v>0</v>
      </c>
      <c r="AG451" s="432">
        <v>0</v>
      </c>
      <c r="AH451" s="432">
        <v>0</v>
      </c>
      <c r="AI451" s="158">
        <v>489192</v>
      </c>
      <c r="AJ451" s="158">
        <v>0</v>
      </c>
      <c r="AK451" s="158">
        <v>489192</v>
      </c>
      <c r="AL451" s="158">
        <v>489192</v>
      </c>
      <c r="AM451" s="158">
        <v>11016000</v>
      </c>
      <c r="AN451" s="158">
        <v>489192</v>
      </c>
      <c r="AO451" s="158">
        <v>489192</v>
      </c>
      <c r="AP451" s="158">
        <v>489000</v>
      </c>
      <c r="AQ451" s="432">
        <v>0</v>
      </c>
      <c r="AR451" s="432">
        <v>0</v>
      </c>
      <c r="AS451" s="432">
        <v>0</v>
      </c>
      <c r="AT451" s="432">
        <v>0</v>
      </c>
      <c r="AU451" s="432">
        <v>0</v>
      </c>
      <c r="AV451" s="432">
        <v>0</v>
      </c>
      <c r="AW451" s="432">
        <v>0</v>
      </c>
      <c r="AX451" s="432">
        <v>0</v>
      </c>
      <c r="AY451" s="158">
        <v>0</v>
      </c>
      <c r="AZ451" s="158">
        <v>0</v>
      </c>
      <c r="BA451" s="158">
        <v>0</v>
      </c>
      <c r="BB451" s="158">
        <v>0</v>
      </c>
      <c r="BC451" s="158">
        <v>0</v>
      </c>
      <c r="BD451" s="158">
        <v>0</v>
      </c>
      <c r="BE451" s="158">
        <v>0</v>
      </c>
      <c r="BF451" s="160">
        <v>0</v>
      </c>
      <c r="BG451" s="383">
        <v>2023</v>
      </c>
      <c r="BH451" s="383">
        <v>1</v>
      </c>
      <c r="BI451" s="383">
        <v>19</v>
      </c>
      <c r="BK451" s="147" t="str">
        <f>IF(R451=SUM(Z451,AH451,AP451,AX451,BF451),"○","×")</f>
        <v>○</v>
      </c>
    </row>
    <row r="452" spans="1:63" x14ac:dyDescent="0.2">
      <c r="A452" s="428">
        <v>1650</v>
      </c>
      <c r="B452" s="429"/>
      <c r="C452" s="430"/>
      <c r="D452" s="429"/>
      <c r="E452" s="430"/>
      <c r="F452" s="429"/>
      <c r="G452" s="429"/>
      <c r="H452" s="430"/>
      <c r="I452" s="429"/>
      <c r="J452" s="429"/>
      <c r="K452" s="429"/>
      <c r="L452" s="383"/>
      <c r="M452" s="383" t="s">
        <v>859</v>
      </c>
      <c r="N452" s="383" t="s">
        <v>367</v>
      </c>
      <c r="O452" s="383" t="s">
        <v>450</v>
      </c>
      <c r="P452" s="383" t="s">
        <v>970</v>
      </c>
      <c r="Q452" s="383"/>
      <c r="R452" s="431">
        <v>1722000</v>
      </c>
      <c r="S452" s="158">
        <v>0</v>
      </c>
      <c r="T452" s="158">
        <v>0</v>
      </c>
      <c r="U452" s="158">
        <v>0</v>
      </c>
      <c r="V452" s="158">
        <v>0</v>
      </c>
      <c r="W452" s="158">
        <v>0</v>
      </c>
      <c r="X452" s="158">
        <v>0</v>
      </c>
      <c r="Y452" s="158">
        <v>0</v>
      </c>
      <c r="Z452" s="158">
        <v>0</v>
      </c>
      <c r="AA452" s="432">
        <v>0</v>
      </c>
      <c r="AB452" s="432">
        <v>0</v>
      </c>
      <c r="AC452" s="432">
        <v>0</v>
      </c>
      <c r="AD452" s="432">
        <v>0</v>
      </c>
      <c r="AE452" s="432">
        <v>0</v>
      </c>
      <c r="AF452" s="432">
        <v>0</v>
      </c>
      <c r="AG452" s="432">
        <v>0</v>
      </c>
      <c r="AH452" s="432">
        <v>0</v>
      </c>
      <c r="AI452" s="158">
        <v>1722660</v>
      </c>
      <c r="AJ452" s="158">
        <v>0</v>
      </c>
      <c r="AK452" s="158">
        <v>1722660</v>
      </c>
      <c r="AL452" s="158">
        <v>1722660</v>
      </c>
      <c r="AM452" s="158">
        <v>2088000</v>
      </c>
      <c r="AN452" s="158">
        <v>1722660</v>
      </c>
      <c r="AO452" s="158">
        <v>1722660</v>
      </c>
      <c r="AP452" s="158">
        <v>1722000</v>
      </c>
      <c r="AQ452" s="432">
        <v>0</v>
      </c>
      <c r="AR452" s="432">
        <v>0</v>
      </c>
      <c r="AS452" s="432">
        <v>0</v>
      </c>
      <c r="AT452" s="432">
        <v>0</v>
      </c>
      <c r="AU452" s="432">
        <v>0</v>
      </c>
      <c r="AV452" s="432">
        <v>0</v>
      </c>
      <c r="AW452" s="432">
        <v>0</v>
      </c>
      <c r="AX452" s="432">
        <v>0</v>
      </c>
      <c r="AY452" s="158">
        <v>0</v>
      </c>
      <c r="AZ452" s="158">
        <v>0</v>
      </c>
      <c r="BA452" s="158">
        <v>0</v>
      </c>
      <c r="BB452" s="158">
        <v>0</v>
      </c>
      <c r="BC452" s="158">
        <v>0</v>
      </c>
      <c r="BD452" s="158">
        <v>0</v>
      </c>
      <c r="BE452" s="158">
        <v>0</v>
      </c>
      <c r="BF452" s="160">
        <v>0</v>
      </c>
      <c r="BG452" s="383">
        <v>2023</v>
      </c>
      <c r="BH452" s="383">
        <v>1</v>
      </c>
      <c r="BI452" s="383">
        <v>19</v>
      </c>
      <c r="BK452" s="147" t="str">
        <f>IF(R452=SUM(Z452,AH452,AP452,AX452,BF452),"○","×")</f>
        <v>○</v>
      </c>
    </row>
    <row r="453" spans="1:63" x14ac:dyDescent="0.2">
      <c r="A453" s="428">
        <v>1651</v>
      </c>
      <c r="B453" s="429"/>
      <c r="C453" s="430"/>
      <c r="D453" s="429"/>
      <c r="E453" s="430"/>
      <c r="F453" s="429"/>
      <c r="G453" s="429"/>
      <c r="H453" s="430"/>
      <c r="I453" s="429"/>
      <c r="J453" s="429"/>
      <c r="K453" s="429"/>
      <c r="L453" s="383"/>
      <c r="M453" s="383" t="s">
        <v>860</v>
      </c>
      <c r="N453" s="383" t="s">
        <v>323</v>
      </c>
      <c r="O453" s="383" t="s">
        <v>861</v>
      </c>
      <c r="P453" s="383" t="s">
        <v>970</v>
      </c>
      <c r="Q453" s="383"/>
      <c r="R453" s="431">
        <v>22000</v>
      </c>
      <c r="S453" s="158">
        <v>0</v>
      </c>
      <c r="T453" s="158">
        <v>0</v>
      </c>
      <c r="U453" s="158">
        <v>0</v>
      </c>
      <c r="V453" s="158">
        <v>0</v>
      </c>
      <c r="W453" s="158">
        <v>0</v>
      </c>
      <c r="X453" s="158">
        <v>0</v>
      </c>
      <c r="Y453" s="158">
        <v>0</v>
      </c>
      <c r="Z453" s="158">
        <v>0</v>
      </c>
      <c r="AA453" s="432">
        <v>0</v>
      </c>
      <c r="AB453" s="432">
        <v>0</v>
      </c>
      <c r="AC453" s="432">
        <v>0</v>
      </c>
      <c r="AD453" s="432">
        <v>0</v>
      </c>
      <c r="AE453" s="432">
        <v>0</v>
      </c>
      <c r="AF453" s="432">
        <v>0</v>
      </c>
      <c r="AG453" s="432">
        <v>0</v>
      </c>
      <c r="AH453" s="432">
        <v>0</v>
      </c>
      <c r="AI453" s="158">
        <v>22053</v>
      </c>
      <c r="AJ453" s="158">
        <v>0</v>
      </c>
      <c r="AK453" s="158">
        <v>22053</v>
      </c>
      <c r="AL453" s="158">
        <v>22053</v>
      </c>
      <c r="AM453" s="158">
        <v>2574000</v>
      </c>
      <c r="AN453" s="158">
        <v>22053</v>
      </c>
      <c r="AO453" s="158">
        <v>22053</v>
      </c>
      <c r="AP453" s="158">
        <v>22000</v>
      </c>
      <c r="AQ453" s="432">
        <v>0</v>
      </c>
      <c r="AR453" s="432">
        <v>0</v>
      </c>
      <c r="AS453" s="432">
        <v>0</v>
      </c>
      <c r="AT453" s="432">
        <v>0</v>
      </c>
      <c r="AU453" s="432">
        <v>0</v>
      </c>
      <c r="AV453" s="432">
        <v>0</v>
      </c>
      <c r="AW453" s="432">
        <v>0</v>
      </c>
      <c r="AX453" s="432">
        <v>0</v>
      </c>
      <c r="AY453" s="158">
        <v>0</v>
      </c>
      <c r="AZ453" s="158">
        <v>0</v>
      </c>
      <c r="BA453" s="158">
        <v>0</v>
      </c>
      <c r="BB453" s="158">
        <v>0</v>
      </c>
      <c r="BC453" s="158">
        <v>0</v>
      </c>
      <c r="BD453" s="158">
        <v>0</v>
      </c>
      <c r="BE453" s="158">
        <v>0</v>
      </c>
      <c r="BF453" s="160">
        <v>0</v>
      </c>
      <c r="BG453" s="383">
        <v>2023</v>
      </c>
      <c r="BH453" s="383">
        <v>1</v>
      </c>
      <c r="BI453" s="383">
        <v>19</v>
      </c>
      <c r="BK453" s="147" t="str">
        <f>IF(R453=SUM(Z453,AH453,AP453,AX453,BF453),"○","×")</f>
        <v>○</v>
      </c>
    </row>
    <row r="454" spans="1:63" x14ac:dyDescent="0.2">
      <c r="A454" s="428">
        <v>1652</v>
      </c>
      <c r="B454" s="429"/>
      <c r="C454" s="430"/>
      <c r="D454" s="429"/>
      <c r="E454" s="430"/>
      <c r="F454" s="429"/>
      <c r="G454" s="429"/>
      <c r="H454" s="430"/>
      <c r="I454" s="429"/>
      <c r="J454" s="429"/>
      <c r="K454" s="429"/>
      <c r="L454" s="383"/>
      <c r="M454" s="383" t="s">
        <v>862</v>
      </c>
      <c r="N454" s="383" t="s">
        <v>323</v>
      </c>
      <c r="O454" s="383" t="s">
        <v>863</v>
      </c>
      <c r="P454" s="383" t="s">
        <v>970</v>
      </c>
      <c r="Q454" s="383"/>
      <c r="R454" s="431">
        <v>32000</v>
      </c>
      <c r="S454" s="158">
        <v>0</v>
      </c>
      <c r="T454" s="158">
        <v>0</v>
      </c>
      <c r="U454" s="158">
        <v>0</v>
      </c>
      <c r="V454" s="158">
        <v>0</v>
      </c>
      <c r="W454" s="158">
        <v>0</v>
      </c>
      <c r="X454" s="158">
        <v>0</v>
      </c>
      <c r="Y454" s="158">
        <v>0</v>
      </c>
      <c r="Z454" s="158">
        <v>0</v>
      </c>
      <c r="AA454" s="432">
        <v>0</v>
      </c>
      <c r="AB454" s="432">
        <v>0</v>
      </c>
      <c r="AC454" s="432">
        <v>0</v>
      </c>
      <c r="AD454" s="432">
        <v>0</v>
      </c>
      <c r="AE454" s="432">
        <v>0</v>
      </c>
      <c r="AF454" s="432">
        <v>0</v>
      </c>
      <c r="AG454" s="432">
        <v>0</v>
      </c>
      <c r="AH454" s="432">
        <v>0</v>
      </c>
      <c r="AI454" s="158">
        <v>32662</v>
      </c>
      <c r="AJ454" s="158">
        <v>0</v>
      </c>
      <c r="AK454" s="158">
        <v>32662</v>
      </c>
      <c r="AL454" s="158">
        <v>32662</v>
      </c>
      <c r="AM454" s="158">
        <v>1094400</v>
      </c>
      <c r="AN454" s="158">
        <v>32662</v>
      </c>
      <c r="AO454" s="158">
        <v>32662</v>
      </c>
      <c r="AP454" s="158">
        <v>32000</v>
      </c>
      <c r="AQ454" s="432">
        <v>0</v>
      </c>
      <c r="AR454" s="432">
        <v>0</v>
      </c>
      <c r="AS454" s="432">
        <v>0</v>
      </c>
      <c r="AT454" s="432">
        <v>0</v>
      </c>
      <c r="AU454" s="432">
        <v>0</v>
      </c>
      <c r="AV454" s="432">
        <v>0</v>
      </c>
      <c r="AW454" s="432">
        <v>0</v>
      </c>
      <c r="AX454" s="432">
        <v>0</v>
      </c>
      <c r="AY454" s="158">
        <v>0</v>
      </c>
      <c r="AZ454" s="158">
        <v>0</v>
      </c>
      <c r="BA454" s="158">
        <v>0</v>
      </c>
      <c r="BB454" s="158">
        <v>0</v>
      </c>
      <c r="BC454" s="158">
        <v>0</v>
      </c>
      <c r="BD454" s="158">
        <v>0</v>
      </c>
      <c r="BE454" s="158">
        <v>0</v>
      </c>
      <c r="BF454" s="160">
        <v>0</v>
      </c>
      <c r="BG454" s="383">
        <v>2023</v>
      </c>
      <c r="BH454" s="383">
        <v>1</v>
      </c>
      <c r="BI454" s="383">
        <v>19</v>
      </c>
      <c r="BK454" s="147" t="str">
        <f>IF(R454=SUM(Z454,AH454,AP454,AX454,BF454),"○","×")</f>
        <v>○</v>
      </c>
    </row>
    <row r="455" spans="1:63" x14ac:dyDescent="0.2">
      <c r="A455" s="428">
        <v>1653</v>
      </c>
      <c r="B455" s="429"/>
      <c r="C455" s="430"/>
      <c r="D455" s="429"/>
      <c r="E455" s="430"/>
      <c r="F455" s="429"/>
      <c r="G455" s="429"/>
      <c r="H455" s="430"/>
      <c r="I455" s="429"/>
      <c r="J455" s="429"/>
      <c r="K455" s="429"/>
      <c r="L455" s="383"/>
      <c r="M455" s="383" t="s">
        <v>747</v>
      </c>
      <c r="N455" s="383" t="s">
        <v>356</v>
      </c>
      <c r="O455" s="383" t="s">
        <v>466</v>
      </c>
      <c r="P455" s="383" t="s">
        <v>970</v>
      </c>
      <c r="Q455" s="383"/>
      <c r="R455" s="431">
        <v>466000</v>
      </c>
      <c r="S455" s="158">
        <v>0</v>
      </c>
      <c r="T455" s="158">
        <v>0</v>
      </c>
      <c r="U455" s="158">
        <v>0</v>
      </c>
      <c r="V455" s="158">
        <v>0</v>
      </c>
      <c r="W455" s="158">
        <v>0</v>
      </c>
      <c r="X455" s="158">
        <v>0</v>
      </c>
      <c r="Y455" s="158">
        <v>0</v>
      </c>
      <c r="Z455" s="158">
        <v>0</v>
      </c>
      <c r="AA455" s="432">
        <v>0</v>
      </c>
      <c r="AB455" s="432">
        <v>0</v>
      </c>
      <c r="AC455" s="432">
        <v>0</v>
      </c>
      <c r="AD455" s="432">
        <v>0</v>
      </c>
      <c r="AE455" s="432">
        <v>0</v>
      </c>
      <c r="AF455" s="432">
        <v>0</v>
      </c>
      <c r="AG455" s="432">
        <v>0</v>
      </c>
      <c r="AH455" s="432">
        <v>0</v>
      </c>
      <c r="AI455" s="158">
        <v>466121</v>
      </c>
      <c r="AJ455" s="158">
        <v>0</v>
      </c>
      <c r="AK455" s="158">
        <v>466121</v>
      </c>
      <c r="AL455" s="158">
        <v>466121</v>
      </c>
      <c r="AM455" s="158">
        <v>684000</v>
      </c>
      <c r="AN455" s="158">
        <v>466121</v>
      </c>
      <c r="AO455" s="158">
        <v>466121</v>
      </c>
      <c r="AP455" s="158">
        <v>466000</v>
      </c>
      <c r="AQ455" s="432">
        <v>0</v>
      </c>
      <c r="AR455" s="432">
        <v>0</v>
      </c>
      <c r="AS455" s="432">
        <v>0</v>
      </c>
      <c r="AT455" s="432">
        <v>0</v>
      </c>
      <c r="AU455" s="432">
        <v>0</v>
      </c>
      <c r="AV455" s="432">
        <v>0</v>
      </c>
      <c r="AW455" s="432">
        <v>0</v>
      </c>
      <c r="AX455" s="432">
        <v>0</v>
      </c>
      <c r="AY455" s="158">
        <v>0</v>
      </c>
      <c r="AZ455" s="158">
        <v>0</v>
      </c>
      <c r="BA455" s="158">
        <v>0</v>
      </c>
      <c r="BB455" s="158">
        <v>0</v>
      </c>
      <c r="BC455" s="158">
        <v>0</v>
      </c>
      <c r="BD455" s="158">
        <v>0</v>
      </c>
      <c r="BE455" s="158">
        <v>0</v>
      </c>
      <c r="BF455" s="160">
        <v>0</v>
      </c>
      <c r="BG455" s="383">
        <v>2023</v>
      </c>
      <c r="BH455" s="383">
        <v>1</v>
      </c>
      <c r="BI455" s="383">
        <v>19</v>
      </c>
      <c r="BK455" s="147" t="str">
        <f>IF(R455=SUM(Z455,AH455,AP455,AX455,BF455),"○","×")</f>
        <v>○</v>
      </c>
    </row>
    <row r="456" spans="1:63" x14ac:dyDescent="0.2">
      <c r="A456" s="428">
        <v>1654</v>
      </c>
      <c r="B456" s="429"/>
      <c r="C456" s="430"/>
      <c r="D456" s="429"/>
      <c r="E456" s="430"/>
      <c r="F456" s="429"/>
      <c r="G456" s="429"/>
      <c r="H456" s="430"/>
      <c r="I456" s="429"/>
      <c r="J456" s="429"/>
      <c r="K456" s="429"/>
      <c r="L456" s="383"/>
      <c r="M456" s="383" t="s">
        <v>664</v>
      </c>
      <c r="N456" s="383" t="s">
        <v>323</v>
      </c>
      <c r="O456" s="383" t="s">
        <v>530</v>
      </c>
      <c r="P456" s="383" t="s">
        <v>970</v>
      </c>
      <c r="Q456" s="383"/>
      <c r="R456" s="431">
        <v>153000</v>
      </c>
      <c r="S456" s="158">
        <v>0</v>
      </c>
      <c r="T456" s="158">
        <v>0</v>
      </c>
      <c r="U456" s="158">
        <v>0</v>
      </c>
      <c r="V456" s="158">
        <v>0</v>
      </c>
      <c r="W456" s="158">
        <v>0</v>
      </c>
      <c r="X456" s="158">
        <v>0</v>
      </c>
      <c r="Y456" s="158">
        <v>0</v>
      </c>
      <c r="Z456" s="158">
        <v>0</v>
      </c>
      <c r="AA456" s="432">
        <v>0</v>
      </c>
      <c r="AB456" s="432">
        <v>0</v>
      </c>
      <c r="AC456" s="432">
        <v>0</v>
      </c>
      <c r="AD456" s="432">
        <v>0</v>
      </c>
      <c r="AE456" s="432">
        <v>0</v>
      </c>
      <c r="AF456" s="432">
        <v>0</v>
      </c>
      <c r="AG456" s="432">
        <v>0</v>
      </c>
      <c r="AH456" s="432">
        <v>0</v>
      </c>
      <c r="AI456" s="158">
        <v>153040</v>
      </c>
      <c r="AJ456" s="158">
        <v>0</v>
      </c>
      <c r="AK456" s="158">
        <v>153040</v>
      </c>
      <c r="AL456" s="158">
        <v>153040</v>
      </c>
      <c r="AM456" s="158">
        <v>5220000</v>
      </c>
      <c r="AN456" s="158">
        <v>153040</v>
      </c>
      <c r="AO456" s="158">
        <v>153040</v>
      </c>
      <c r="AP456" s="158">
        <v>153000</v>
      </c>
      <c r="AQ456" s="432">
        <v>0</v>
      </c>
      <c r="AR456" s="432">
        <v>0</v>
      </c>
      <c r="AS456" s="432">
        <v>0</v>
      </c>
      <c r="AT456" s="432">
        <v>0</v>
      </c>
      <c r="AU456" s="432">
        <v>0</v>
      </c>
      <c r="AV456" s="432">
        <v>0</v>
      </c>
      <c r="AW456" s="432">
        <v>0</v>
      </c>
      <c r="AX456" s="432">
        <v>0</v>
      </c>
      <c r="AY456" s="158">
        <v>0</v>
      </c>
      <c r="AZ456" s="158">
        <v>0</v>
      </c>
      <c r="BA456" s="158">
        <v>0</v>
      </c>
      <c r="BB456" s="158">
        <v>0</v>
      </c>
      <c r="BC456" s="158">
        <v>0</v>
      </c>
      <c r="BD456" s="158">
        <v>0</v>
      </c>
      <c r="BE456" s="158">
        <v>0</v>
      </c>
      <c r="BF456" s="160">
        <v>0</v>
      </c>
      <c r="BG456" s="383">
        <v>2023</v>
      </c>
      <c r="BH456" s="383">
        <v>1</v>
      </c>
      <c r="BI456" s="383">
        <v>19</v>
      </c>
      <c r="BK456" s="147" t="str">
        <f>IF(R456=SUM(Z456,AH456,AP456,AX456,BF456),"○","×")</f>
        <v>○</v>
      </c>
    </row>
    <row r="457" spans="1:63" x14ac:dyDescent="0.2">
      <c r="A457" s="428">
        <v>1655</v>
      </c>
      <c r="B457" s="429"/>
      <c r="C457" s="430"/>
      <c r="D457" s="429"/>
      <c r="E457" s="430"/>
      <c r="F457" s="429"/>
      <c r="G457" s="429"/>
      <c r="H457" s="430"/>
      <c r="I457" s="429"/>
      <c r="J457" s="429"/>
      <c r="K457" s="429"/>
      <c r="L457" s="383"/>
      <c r="M457" s="383" t="s">
        <v>864</v>
      </c>
      <c r="N457" s="383" t="s">
        <v>447</v>
      </c>
      <c r="O457" s="383" t="s">
        <v>865</v>
      </c>
      <c r="P457" s="383" t="s">
        <v>970</v>
      </c>
      <c r="Q457" s="383"/>
      <c r="R457" s="431">
        <v>99000</v>
      </c>
      <c r="S457" s="158">
        <v>0</v>
      </c>
      <c r="T457" s="158">
        <v>0</v>
      </c>
      <c r="U457" s="158">
        <v>0</v>
      </c>
      <c r="V457" s="158">
        <v>0</v>
      </c>
      <c r="W457" s="158">
        <v>0</v>
      </c>
      <c r="X457" s="158">
        <v>0</v>
      </c>
      <c r="Y457" s="158">
        <v>0</v>
      </c>
      <c r="Z457" s="158">
        <v>0</v>
      </c>
      <c r="AA457" s="432">
        <v>0</v>
      </c>
      <c r="AB457" s="432">
        <v>0</v>
      </c>
      <c r="AC457" s="432">
        <v>0</v>
      </c>
      <c r="AD457" s="432">
        <v>0</v>
      </c>
      <c r="AE457" s="432">
        <v>0</v>
      </c>
      <c r="AF457" s="432">
        <v>0</v>
      </c>
      <c r="AG457" s="432">
        <v>0</v>
      </c>
      <c r="AH457" s="432">
        <v>0</v>
      </c>
      <c r="AI457" s="158">
        <v>99350</v>
      </c>
      <c r="AJ457" s="158">
        <v>0</v>
      </c>
      <c r="AK457" s="158">
        <v>99350</v>
      </c>
      <c r="AL457" s="158">
        <v>99350</v>
      </c>
      <c r="AM457" s="158">
        <v>1296000</v>
      </c>
      <c r="AN457" s="158">
        <v>99350</v>
      </c>
      <c r="AO457" s="158">
        <v>99350</v>
      </c>
      <c r="AP457" s="158">
        <v>99000</v>
      </c>
      <c r="AQ457" s="432">
        <v>0</v>
      </c>
      <c r="AR457" s="432">
        <v>0</v>
      </c>
      <c r="AS457" s="432">
        <v>0</v>
      </c>
      <c r="AT457" s="432">
        <v>0</v>
      </c>
      <c r="AU457" s="432">
        <v>0</v>
      </c>
      <c r="AV457" s="432">
        <v>0</v>
      </c>
      <c r="AW457" s="432">
        <v>0</v>
      </c>
      <c r="AX457" s="432">
        <v>0</v>
      </c>
      <c r="AY457" s="158">
        <v>0</v>
      </c>
      <c r="AZ457" s="158">
        <v>0</v>
      </c>
      <c r="BA457" s="158">
        <v>0</v>
      </c>
      <c r="BB457" s="158">
        <v>0</v>
      </c>
      <c r="BC457" s="158">
        <v>0</v>
      </c>
      <c r="BD457" s="158">
        <v>0</v>
      </c>
      <c r="BE457" s="158">
        <v>0</v>
      </c>
      <c r="BF457" s="160">
        <v>0</v>
      </c>
      <c r="BG457" s="383">
        <v>2023</v>
      </c>
      <c r="BH457" s="383">
        <v>1</v>
      </c>
      <c r="BI457" s="383">
        <v>19</v>
      </c>
      <c r="BK457" s="147" t="str">
        <f>IF(R457=SUM(Z457,AH457,AP457,AX457,BF457),"○","×")</f>
        <v>○</v>
      </c>
    </row>
    <row r="458" spans="1:63" x14ac:dyDescent="0.2">
      <c r="A458" s="428">
        <v>1656</v>
      </c>
      <c r="B458" s="429"/>
      <c r="C458" s="430"/>
      <c r="D458" s="429"/>
      <c r="E458" s="430"/>
      <c r="F458" s="429"/>
      <c r="G458" s="429"/>
      <c r="H458" s="430"/>
      <c r="I458" s="429"/>
      <c r="J458" s="429"/>
      <c r="K458" s="429"/>
      <c r="L458" s="383"/>
      <c r="M458" s="383" t="s">
        <v>832</v>
      </c>
      <c r="N458" s="383" t="s">
        <v>329</v>
      </c>
      <c r="O458" s="383" t="s">
        <v>395</v>
      </c>
      <c r="P458" s="383" t="s">
        <v>970</v>
      </c>
      <c r="Q458" s="383"/>
      <c r="R458" s="431">
        <v>216000</v>
      </c>
      <c r="S458" s="158">
        <v>0</v>
      </c>
      <c r="T458" s="158">
        <v>0</v>
      </c>
      <c r="U458" s="158">
        <v>0</v>
      </c>
      <c r="V458" s="158">
        <v>0</v>
      </c>
      <c r="W458" s="158">
        <v>0</v>
      </c>
      <c r="X458" s="158">
        <v>0</v>
      </c>
      <c r="Y458" s="158">
        <v>0</v>
      </c>
      <c r="Z458" s="158">
        <v>0</v>
      </c>
      <c r="AA458" s="432">
        <v>0</v>
      </c>
      <c r="AB458" s="432">
        <v>0</v>
      </c>
      <c r="AC458" s="432">
        <v>0</v>
      </c>
      <c r="AD458" s="432">
        <v>0</v>
      </c>
      <c r="AE458" s="432">
        <v>0</v>
      </c>
      <c r="AF458" s="432">
        <v>0</v>
      </c>
      <c r="AG458" s="432">
        <v>0</v>
      </c>
      <c r="AH458" s="432">
        <v>0</v>
      </c>
      <c r="AI458" s="158">
        <v>216100</v>
      </c>
      <c r="AJ458" s="158">
        <v>0</v>
      </c>
      <c r="AK458" s="158">
        <v>216100</v>
      </c>
      <c r="AL458" s="158">
        <v>216100</v>
      </c>
      <c r="AM458" s="158">
        <v>5184000</v>
      </c>
      <c r="AN458" s="158">
        <v>216100</v>
      </c>
      <c r="AO458" s="158">
        <v>216100</v>
      </c>
      <c r="AP458" s="158">
        <v>216000</v>
      </c>
      <c r="AQ458" s="432">
        <v>0</v>
      </c>
      <c r="AR458" s="432">
        <v>0</v>
      </c>
      <c r="AS458" s="432">
        <v>0</v>
      </c>
      <c r="AT458" s="432">
        <v>0</v>
      </c>
      <c r="AU458" s="432">
        <v>0</v>
      </c>
      <c r="AV458" s="432">
        <v>0</v>
      </c>
      <c r="AW458" s="432">
        <v>0</v>
      </c>
      <c r="AX458" s="432">
        <v>0</v>
      </c>
      <c r="AY458" s="158">
        <v>0</v>
      </c>
      <c r="AZ458" s="158">
        <v>0</v>
      </c>
      <c r="BA458" s="158">
        <v>0</v>
      </c>
      <c r="BB458" s="158">
        <v>0</v>
      </c>
      <c r="BC458" s="158">
        <v>0</v>
      </c>
      <c r="BD458" s="158">
        <v>0</v>
      </c>
      <c r="BE458" s="158">
        <v>0</v>
      </c>
      <c r="BF458" s="160">
        <v>0</v>
      </c>
      <c r="BG458" s="383">
        <v>2023</v>
      </c>
      <c r="BH458" s="383">
        <v>1</v>
      </c>
      <c r="BI458" s="383">
        <v>19</v>
      </c>
      <c r="BK458" s="147" t="str">
        <f>IF(R458=SUM(Z458,AH458,AP458,AX458,BF458),"○","×")</f>
        <v>○</v>
      </c>
    </row>
    <row r="459" spans="1:63" x14ac:dyDescent="0.2">
      <c r="A459" s="428">
        <v>1658</v>
      </c>
      <c r="B459" s="429"/>
      <c r="C459" s="430"/>
      <c r="D459" s="429"/>
      <c r="E459" s="430"/>
      <c r="F459" s="429"/>
      <c r="G459" s="429"/>
      <c r="H459" s="430"/>
      <c r="I459" s="429"/>
      <c r="J459" s="429"/>
      <c r="K459" s="429"/>
      <c r="L459" s="383"/>
      <c r="M459" s="383" t="s">
        <v>499</v>
      </c>
      <c r="N459" s="383" t="s">
        <v>323</v>
      </c>
      <c r="O459" s="383" t="s">
        <v>500</v>
      </c>
      <c r="P459" s="383" t="s">
        <v>970</v>
      </c>
      <c r="Q459" s="383"/>
      <c r="R459" s="431">
        <v>229000</v>
      </c>
      <c r="S459" s="158">
        <v>0</v>
      </c>
      <c r="T459" s="158">
        <v>0</v>
      </c>
      <c r="U459" s="158">
        <v>0</v>
      </c>
      <c r="V459" s="158">
        <v>0</v>
      </c>
      <c r="W459" s="158">
        <v>0</v>
      </c>
      <c r="X459" s="158">
        <v>0</v>
      </c>
      <c r="Y459" s="158">
        <v>0</v>
      </c>
      <c r="Z459" s="158">
        <v>0</v>
      </c>
      <c r="AA459" s="432">
        <v>0</v>
      </c>
      <c r="AB459" s="432">
        <v>0</v>
      </c>
      <c r="AC459" s="432">
        <v>0</v>
      </c>
      <c r="AD459" s="432">
        <v>0</v>
      </c>
      <c r="AE459" s="432">
        <v>0</v>
      </c>
      <c r="AF459" s="432">
        <v>0</v>
      </c>
      <c r="AG459" s="432">
        <v>0</v>
      </c>
      <c r="AH459" s="432">
        <v>0</v>
      </c>
      <c r="AI459" s="158">
        <v>229350</v>
      </c>
      <c r="AJ459" s="158">
        <v>0</v>
      </c>
      <c r="AK459" s="158">
        <v>229350</v>
      </c>
      <c r="AL459" s="158">
        <v>229350</v>
      </c>
      <c r="AM459" s="158">
        <v>1112400</v>
      </c>
      <c r="AN459" s="158">
        <v>229350</v>
      </c>
      <c r="AO459" s="158">
        <v>229350</v>
      </c>
      <c r="AP459" s="158">
        <v>229000</v>
      </c>
      <c r="AQ459" s="432">
        <v>0</v>
      </c>
      <c r="AR459" s="432">
        <v>0</v>
      </c>
      <c r="AS459" s="432">
        <v>0</v>
      </c>
      <c r="AT459" s="432">
        <v>0</v>
      </c>
      <c r="AU459" s="432">
        <v>0</v>
      </c>
      <c r="AV459" s="432">
        <v>0</v>
      </c>
      <c r="AW459" s="432">
        <v>0</v>
      </c>
      <c r="AX459" s="432">
        <v>0</v>
      </c>
      <c r="AY459" s="158">
        <v>0</v>
      </c>
      <c r="AZ459" s="158">
        <v>0</v>
      </c>
      <c r="BA459" s="158">
        <v>0</v>
      </c>
      <c r="BB459" s="158">
        <v>0</v>
      </c>
      <c r="BC459" s="158">
        <v>0</v>
      </c>
      <c r="BD459" s="158">
        <v>0</v>
      </c>
      <c r="BE459" s="158">
        <v>0</v>
      </c>
      <c r="BF459" s="160">
        <v>0</v>
      </c>
      <c r="BG459" s="383">
        <v>2023</v>
      </c>
      <c r="BH459" s="383">
        <v>1</v>
      </c>
      <c r="BI459" s="383">
        <v>19</v>
      </c>
      <c r="BK459" s="147" t="str">
        <f>IF(R459=SUM(Z459,AH459,AP459,AX459,BF459),"○","×")</f>
        <v>○</v>
      </c>
    </row>
    <row r="460" spans="1:63" x14ac:dyDescent="0.2">
      <c r="A460" s="428">
        <v>1660</v>
      </c>
      <c r="B460" s="429"/>
      <c r="C460" s="430"/>
      <c r="D460" s="429"/>
      <c r="E460" s="430"/>
      <c r="F460" s="429"/>
      <c r="G460" s="429"/>
      <c r="H460" s="430"/>
      <c r="I460" s="429"/>
      <c r="J460" s="429"/>
      <c r="K460" s="429"/>
      <c r="L460" s="383"/>
      <c r="M460" s="383" t="s">
        <v>337</v>
      </c>
      <c r="N460" s="383" t="s">
        <v>323</v>
      </c>
      <c r="O460" s="383" t="s">
        <v>338</v>
      </c>
      <c r="P460" s="383" t="s">
        <v>970</v>
      </c>
      <c r="Q460" s="383"/>
      <c r="R460" s="431">
        <v>75000</v>
      </c>
      <c r="S460" s="158">
        <v>0</v>
      </c>
      <c r="T460" s="158">
        <v>0</v>
      </c>
      <c r="U460" s="158">
        <v>0</v>
      </c>
      <c r="V460" s="158">
        <v>0</v>
      </c>
      <c r="W460" s="158">
        <v>0</v>
      </c>
      <c r="X460" s="158">
        <v>0</v>
      </c>
      <c r="Y460" s="158">
        <v>0</v>
      </c>
      <c r="Z460" s="158">
        <v>0</v>
      </c>
      <c r="AA460" s="432">
        <v>0</v>
      </c>
      <c r="AB460" s="432">
        <v>0</v>
      </c>
      <c r="AC460" s="432">
        <v>0</v>
      </c>
      <c r="AD460" s="432">
        <v>0</v>
      </c>
      <c r="AE460" s="432">
        <v>0</v>
      </c>
      <c r="AF460" s="432">
        <v>0</v>
      </c>
      <c r="AG460" s="432">
        <v>0</v>
      </c>
      <c r="AH460" s="432">
        <v>0</v>
      </c>
      <c r="AI460" s="158">
        <v>75118</v>
      </c>
      <c r="AJ460" s="158">
        <v>0</v>
      </c>
      <c r="AK460" s="158">
        <v>75118</v>
      </c>
      <c r="AL460" s="158">
        <v>75118</v>
      </c>
      <c r="AM460" s="158">
        <v>1576800</v>
      </c>
      <c r="AN460" s="158">
        <v>75118</v>
      </c>
      <c r="AO460" s="158">
        <v>75118</v>
      </c>
      <c r="AP460" s="158">
        <v>75000</v>
      </c>
      <c r="AQ460" s="432">
        <v>0</v>
      </c>
      <c r="AR460" s="432">
        <v>0</v>
      </c>
      <c r="AS460" s="432">
        <v>0</v>
      </c>
      <c r="AT460" s="432">
        <v>0</v>
      </c>
      <c r="AU460" s="432">
        <v>0</v>
      </c>
      <c r="AV460" s="432">
        <v>0</v>
      </c>
      <c r="AW460" s="432">
        <v>0</v>
      </c>
      <c r="AX460" s="432">
        <v>0</v>
      </c>
      <c r="AY460" s="158">
        <v>0</v>
      </c>
      <c r="AZ460" s="158">
        <v>0</v>
      </c>
      <c r="BA460" s="158">
        <v>0</v>
      </c>
      <c r="BB460" s="158">
        <v>0</v>
      </c>
      <c r="BC460" s="158">
        <v>0</v>
      </c>
      <c r="BD460" s="158">
        <v>0</v>
      </c>
      <c r="BE460" s="158">
        <v>0</v>
      </c>
      <c r="BF460" s="160">
        <v>0</v>
      </c>
      <c r="BG460" s="383">
        <v>2023</v>
      </c>
      <c r="BH460" s="383">
        <v>1</v>
      </c>
      <c r="BI460" s="383">
        <v>19</v>
      </c>
      <c r="BK460" s="147" t="str">
        <f>IF(R460=SUM(Z460,AH460,AP460,AX460,BF460),"○","×")</f>
        <v>○</v>
      </c>
    </row>
    <row r="461" spans="1:63" x14ac:dyDescent="0.2">
      <c r="A461" s="428">
        <v>1662</v>
      </c>
      <c r="B461" s="429"/>
      <c r="C461" s="430"/>
      <c r="D461" s="429"/>
      <c r="E461" s="430"/>
      <c r="F461" s="429"/>
      <c r="G461" s="429"/>
      <c r="H461" s="430"/>
      <c r="I461" s="429"/>
      <c r="J461" s="429"/>
      <c r="K461" s="429"/>
      <c r="L461" s="383"/>
      <c r="M461" s="383" t="s">
        <v>866</v>
      </c>
      <c r="N461" s="383" t="s">
        <v>372</v>
      </c>
      <c r="O461" s="383" t="s">
        <v>650</v>
      </c>
      <c r="P461" s="383" t="s">
        <v>970</v>
      </c>
      <c r="Q461" s="383"/>
      <c r="R461" s="431">
        <v>594000</v>
      </c>
      <c r="S461" s="158">
        <v>0</v>
      </c>
      <c r="T461" s="158">
        <v>0</v>
      </c>
      <c r="U461" s="158">
        <v>0</v>
      </c>
      <c r="V461" s="158">
        <v>0</v>
      </c>
      <c r="W461" s="158">
        <v>0</v>
      </c>
      <c r="X461" s="158">
        <v>0</v>
      </c>
      <c r="Y461" s="158">
        <v>0</v>
      </c>
      <c r="Z461" s="158">
        <v>0</v>
      </c>
      <c r="AA461" s="432">
        <v>0</v>
      </c>
      <c r="AB461" s="432">
        <v>0</v>
      </c>
      <c r="AC461" s="432">
        <v>0</v>
      </c>
      <c r="AD461" s="432">
        <v>0</v>
      </c>
      <c r="AE461" s="432">
        <v>0</v>
      </c>
      <c r="AF461" s="432">
        <v>0</v>
      </c>
      <c r="AG461" s="432">
        <v>0</v>
      </c>
      <c r="AH461" s="432">
        <v>0</v>
      </c>
      <c r="AI461" s="158">
        <v>594288</v>
      </c>
      <c r="AJ461" s="158">
        <v>0</v>
      </c>
      <c r="AK461" s="158">
        <v>594288</v>
      </c>
      <c r="AL461" s="158">
        <v>594288</v>
      </c>
      <c r="AM461" s="158">
        <v>1713600</v>
      </c>
      <c r="AN461" s="158">
        <v>594288</v>
      </c>
      <c r="AO461" s="158">
        <v>594288</v>
      </c>
      <c r="AP461" s="158">
        <v>594000</v>
      </c>
      <c r="AQ461" s="432">
        <v>0</v>
      </c>
      <c r="AR461" s="432">
        <v>0</v>
      </c>
      <c r="AS461" s="432">
        <v>0</v>
      </c>
      <c r="AT461" s="432">
        <v>0</v>
      </c>
      <c r="AU461" s="432">
        <v>0</v>
      </c>
      <c r="AV461" s="432">
        <v>0</v>
      </c>
      <c r="AW461" s="432">
        <v>0</v>
      </c>
      <c r="AX461" s="432">
        <v>0</v>
      </c>
      <c r="AY461" s="158">
        <v>0</v>
      </c>
      <c r="AZ461" s="158">
        <v>0</v>
      </c>
      <c r="BA461" s="158">
        <v>0</v>
      </c>
      <c r="BB461" s="158">
        <v>0</v>
      </c>
      <c r="BC461" s="158">
        <v>0</v>
      </c>
      <c r="BD461" s="158">
        <v>0</v>
      </c>
      <c r="BE461" s="158">
        <v>0</v>
      </c>
      <c r="BF461" s="160">
        <v>0</v>
      </c>
      <c r="BG461" s="383">
        <v>2023</v>
      </c>
      <c r="BH461" s="383">
        <v>1</v>
      </c>
      <c r="BI461" s="383">
        <v>19</v>
      </c>
      <c r="BK461" s="147" t="str">
        <f>IF(R461=SUM(Z461,AH461,AP461,AX461,BF461),"○","×")</f>
        <v>○</v>
      </c>
    </row>
    <row r="462" spans="1:63" x14ac:dyDescent="0.2">
      <c r="A462" s="428">
        <v>1663</v>
      </c>
      <c r="B462" s="429"/>
      <c r="C462" s="430"/>
      <c r="D462" s="429"/>
      <c r="E462" s="430"/>
      <c r="F462" s="429"/>
      <c r="G462" s="429"/>
      <c r="H462" s="430"/>
      <c r="I462" s="429"/>
      <c r="J462" s="429"/>
      <c r="K462" s="429"/>
      <c r="L462" s="383"/>
      <c r="M462" s="383" t="s">
        <v>867</v>
      </c>
      <c r="N462" s="383" t="s">
        <v>323</v>
      </c>
      <c r="O462" s="383" t="s">
        <v>868</v>
      </c>
      <c r="P462" s="383" t="s">
        <v>971</v>
      </c>
      <c r="Q462" s="383"/>
      <c r="R462" s="431">
        <v>192000</v>
      </c>
      <c r="S462" s="158">
        <v>0</v>
      </c>
      <c r="T462" s="158">
        <v>0</v>
      </c>
      <c r="U462" s="158">
        <v>0</v>
      </c>
      <c r="V462" s="158">
        <v>0</v>
      </c>
      <c r="W462" s="158">
        <v>0</v>
      </c>
      <c r="X462" s="158">
        <v>0</v>
      </c>
      <c r="Y462" s="158">
        <v>0</v>
      </c>
      <c r="Z462" s="158">
        <v>0</v>
      </c>
      <c r="AA462" s="432">
        <v>0</v>
      </c>
      <c r="AB462" s="432">
        <v>0</v>
      </c>
      <c r="AC462" s="432">
        <v>0</v>
      </c>
      <c r="AD462" s="432">
        <v>0</v>
      </c>
      <c r="AE462" s="432">
        <v>0</v>
      </c>
      <c r="AF462" s="432">
        <v>0</v>
      </c>
      <c r="AG462" s="432">
        <v>0</v>
      </c>
      <c r="AH462" s="432">
        <v>0</v>
      </c>
      <c r="AI462" s="158">
        <v>192624</v>
      </c>
      <c r="AJ462" s="158">
        <v>0</v>
      </c>
      <c r="AK462" s="158">
        <v>192624</v>
      </c>
      <c r="AL462" s="158">
        <v>192624</v>
      </c>
      <c r="AM462" s="158">
        <v>2430000</v>
      </c>
      <c r="AN462" s="158">
        <v>192624</v>
      </c>
      <c r="AO462" s="158">
        <v>192624</v>
      </c>
      <c r="AP462" s="158">
        <v>192000</v>
      </c>
      <c r="AQ462" s="432">
        <v>0</v>
      </c>
      <c r="AR462" s="432">
        <v>0</v>
      </c>
      <c r="AS462" s="432">
        <v>0</v>
      </c>
      <c r="AT462" s="432">
        <v>0</v>
      </c>
      <c r="AU462" s="432">
        <v>0</v>
      </c>
      <c r="AV462" s="432">
        <v>0</v>
      </c>
      <c r="AW462" s="432">
        <v>0</v>
      </c>
      <c r="AX462" s="432">
        <v>0</v>
      </c>
      <c r="AY462" s="158">
        <v>0</v>
      </c>
      <c r="AZ462" s="158">
        <v>0</v>
      </c>
      <c r="BA462" s="158">
        <v>0</v>
      </c>
      <c r="BB462" s="158">
        <v>0</v>
      </c>
      <c r="BC462" s="158">
        <v>0</v>
      </c>
      <c r="BD462" s="158">
        <v>0</v>
      </c>
      <c r="BE462" s="158">
        <v>0</v>
      </c>
      <c r="BF462" s="160">
        <v>0</v>
      </c>
      <c r="BG462" s="383">
        <v>2023</v>
      </c>
      <c r="BH462" s="383">
        <v>1</v>
      </c>
      <c r="BI462" s="383">
        <v>19</v>
      </c>
      <c r="BK462" s="147" t="str">
        <f>IF(R462=SUM(Z462,AH462,AP462,AX462,BF462),"○","×")</f>
        <v>○</v>
      </c>
    </row>
    <row r="463" spans="1:63" x14ac:dyDescent="0.2">
      <c r="A463" s="428">
        <v>1664</v>
      </c>
      <c r="B463" s="429"/>
      <c r="C463" s="430"/>
      <c r="D463" s="429"/>
      <c r="E463" s="430"/>
      <c r="F463" s="429"/>
      <c r="G463" s="429"/>
      <c r="H463" s="430"/>
      <c r="I463" s="429"/>
      <c r="J463" s="429"/>
      <c r="K463" s="429"/>
      <c r="L463" s="383"/>
      <c r="M463" s="383" t="s">
        <v>419</v>
      </c>
      <c r="N463" s="383" t="s">
        <v>343</v>
      </c>
      <c r="O463" s="383" t="s">
        <v>357</v>
      </c>
      <c r="P463" s="383" t="s">
        <v>970</v>
      </c>
      <c r="Q463" s="383"/>
      <c r="R463" s="431">
        <v>387000</v>
      </c>
      <c r="S463" s="158">
        <v>0</v>
      </c>
      <c r="T463" s="158">
        <v>0</v>
      </c>
      <c r="U463" s="158">
        <v>0</v>
      </c>
      <c r="V463" s="158">
        <v>0</v>
      </c>
      <c r="W463" s="158">
        <v>0</v>
      </c>
      <c r="X463" s="158">
        <v>0</v>
      </c>
      <c r="Y463" s="158">
        <v>0</v>
      </c>
      <c r="Z463" s="158">
        <v>0</v>
      </c>
      <c r="AA463" s="432">
        <v>0</v>
      </c>
      <c r="AB463" s="432">
        <v>0</v>
      </c>
      <c r="AC463" s="432">
        <v>0</v>
      </c>
      <c r="AD463" s="432">
        <v>0</v>
      </c>
      <c r="AE463" s="432">
        <v>0</v>
      </c>
      <c r="AF463" s="432">
        <v>0</v>
      </c>
      <c r="AG463" s="432">
        <v>0</v>
      </c>
      <c r="AH463" s="432">
        <v>0</v>
      </c>
      <c r="AI463" s="158">
        <v>387820</v>
      </c>
      <c r="AJ463" s="158">
        <v>0</v>
      </c>
      <c r="AK463" s="158">
        <v>387820</v>
      </c>
      <c r="AL463" s="158">
        <v>387820</v>
      </c>
      <c r="AM463" s="158">
        <v>2610000</v>
      </c>
      <c r="AN463" s="158">
        <v>387820</v>
      </c>
      <c r="AO463" s="158">
        <v>387820</v>
      </c>
      <c r="AP463" s="158">
        <v>387000</v>
      </c>
      <c r="AQ463" s="432">
        <v>0</v>
      </c>
      <c r="AR463" s="432">
        <v>0</v>
      </c>
      <c r="AS463" s="432">
        <v>0</v>
      </c>
      <c r="AT463" s="432">
        <v>0</v>
      </c>
      <c r="AU463" s="432">
        <v>0</v>
      </c>
      <c r="AV463" s="432">
        <v>0</v>
      </c>
      <c r="AW463" s="432">
        <v>0</v>
      </c>
      <c r="AX463" s="432">
        <v>0</v>
      </c>
      <c r="AY463" s="158">
        <v>0</v>
      </c>
      <c r="AZ463" s="158">
        <v>0</v>
      </c>
      <c r="BA463" s="158">
        <v>0</v>
      </c>
      <c r="BB463" s="158">
        <v>0</v>
      </c>
      <c r="BC463" s="158">
        <v>0</v>
      </c>
      <c r="BD463" s="158">
        <v>0</v>
      </c>
      <c r="BE463" s="158">
        <v>0</v>
      </c>
      <c r="BF463" s="160">
        <v>0</v>
      </c>
      <c r="BG463" s="383">
        <v>2023</v>
      </c>
      <c r="BH463" s="383">
        <v>1</v>
      </c>
      <c r="BI463" s="383">
        <v>19</v>
      </c>
      <c r="BK463" s="147" t="str">
        <f>IF(R463=SUM(Z463,AH463,AP463,AX463,BF463),"○","×")</f>
        <v>○</v>
      </c>
    </row>
    <row r="464" spans="1:63" x14ac:dyDescent="0.2">
      <c r="A464" s="428">
        <v>1666</v>
      </c>
      <c r="B464" s="429"/>
      <c r="C464" s="430"/>
      <c r="D464" s="429"/>
      <c r="E464" s="430"/>
      <c r="F464" s="429"/>
      <c r="G464" s="429"/>
      <c r="H464" s="430"/>
      <c r="I464" s="429"/>
      <c r="J464" s="429"/>
      <c r="K464" s="429"/>
      <c r="L464" s="383"/>
      <c r="M464" s="383" t="s">
        <v>588</v>
      </c>
      <c r="N464" s="383" t="s">
        <v>329</v>
      </c>
      <c r="O464" s="383" t="s">
        <v>450</v>
      </c>
      <c r="P464" s="383" t="s">
        <v>970</v>
      </c>
      <c r="Q464" s="383"/>
      <c r="R464" s="431">
        <v>329000</v>
      </c>
      <c r="S464" s="158">
        <v>0</v>
      </c>
      <c r="T464" s="158">
        <v>0</v>
      </c>
      <c r="U464" s="158">
        <v>0</v>
      </c>
      <c r="V464" s="158">
        <v>0</v>
      </c>
      <c r="W464" s="158">
        <v>0</v>
      </c>
      <c r="X464" s="158">
        <v>0</v>
      </c>
      <c r="Y464" s="158">
        <v>0</v>
      </c>
      <c r="Z464" s="158">
        <v>0</v>
      </c>
      <c r="AA464" s="432">
        <v>0</v>
      </c>
      <c r="AB464" s="432">
        <v>0</v>
      </c>
      <c r="AC464" s="432">
        <v>0</v>
      </c>
      <c r="AD464" s="432">
        <v>0</v>
      </c>
      <c r="AE464" s="432">
        <v>0</v>
      </c>
      <c r="AF464" s="432">
        <v>0</v>
      </c>
      <c r="AG464" s="432">
        <v>0</v>
      </c>
      <c r="AH464" s="432">
        <v>0</v>
      </c>
      <c r="AI464" s="158">
        <v>329530</v>
      </c>
      <c r="AJ464" s="158">
        <v>0</v>
      </c>
      <c r="AK464" s="158">
        <v>329530</v>
      </c>
      <c r="AL464" s="158">
        <v>329530</v>
      </c>
      <c r="AM464" s="158">
        <v>3888000</v>
      </c>
      <c r="AN464" s="158">
        <v>329530</v>
      </c>
      <c r="AO464" s="158">
        <v>329530</v>
      </c>
      <c r="AP464" s="158">
        <v>329000</v>
      </c>
      <c r="AQ464" s="432">
        <v>0</v>
      </c>
      <c r="AR464" s="432">
        <v>0</v>
      </c>
      <c r="AS464" s="432">
        <v>0</v>
      </c>
      <c r="AT464" s="432">
        <v>0</v>
      </c>
      <c r="AU464" s="432">
        <v>0</v>
      </c>
      <c r="AV464" s="432">
        <v>0</v>
      </c>
      <c r="AW464" s="432">
        <v>0</v>
      </c>
      <c r="AX464" s="432">
        <v>0</v>
      </c>
      <c r="AY464" s="158">
        <v>0</v>
      </c>
      <c r="AZ464" s="158">
        <v>0</v>
      </c>
      <c r="BA464" s="158">
        <v>0</v>
      </c>
      <c r="BB464" s="158">
        <v>0</v>
      </c>
      <c r="BC464" s="158">
        <v>0</v>
      </c>
      <c r="BD464" s="158">
        <v>0</v>
      </c>
      <c r="BE464" s="158">
        <v>0</v>
      </c>
      <c r="BF464" s="160">
        <v>0</v>
      </c>
      <c r="BG464" s="383">
        <v>2023</v>
      </c>
      <c r="BH464" s="383">
        <v>1</v>
      </c>
      <c r="BI464" s="383">
        <v>19</v>
      </c>
      <c r="BK464" s="147" t="str">
        <f>IF(R464=SUM(Z464,AH464,AP464,AX464,BF464),"○","×")</f>
        <v>○</v>
      </c>
    </row>
    <row r="465" spans="1:63" x14ac:dyDescent="0.2">
      <c r="A465" s="428">
        <v>1667</v>
      </c>
      <c r="B465" s="429"/>
      <c r="C465" s="430"/>
      <c r="D465" s="429"/>
      <c r="E465" s="430"/>
      <c r="F465" s="429"/>
      <c r="G465" s="429"/>
      <c r="H465" s="430"/>
      <c r="I465" s="429"/>
      <c r="J465" s="429"/>
      <c r="K465" s="429"/>
      <c r="L465" s="383"/>
      <c r="M465" s="383" t="s">
        <v>869</v>
      </c>
      <c r="N465" s="383" t="s">
        <v>326</v>
      </c>
      <c r="O465" s="383" t="s">
        <v>870</v>
      </c>
      <c r="P465" s="383" t="s">
        <v>970</v>
      </c>
      <c r="Q465" s="383"/>
      <c r="R465" s="431">
        <v>942000</v>
      </c>
      <c r="S465" s="158">
        <v>0</v>
      </c>
      <c r="T465" s="158">
        <v>0</v>
      </c>
      <c r="U465" s="158">
        <v>0</v>
      </c>
      <c r="V465" s="158">
        <v>0</v>
      </c>
      <c r="W465" s="158">
        <v>0</v>
      </c>
      <c r="X465" s="158">
        <v>0</v>
      </c>
      <c r="Y465" s="158">
        <v>0</v>
      </c>
      <c r="Z465" s="158">
        <v>0</v>
      </c>
      <c r="AA465" s="432">
        <v>0</v>
      </c>
      <c r="AB465" s="432">
        <v>0</v>
      </c>
      <c r="AC465" s="432">
        <v>0</v>
      </c>
      <c r="AD465" s="432">
        <v>0</v>
      </c>
      <c r="AE465" s="432">
        <v>0</v>
      </c>
      <c r="AF465" s="432">
        <v>0</v>
      </c>
      <c r="AG465" s="432">
        <v>0</v>
      </c>
      <c r="AH465" s="432">
        <v>0</v>
      </c>
      <c r="AI465" s="158">
        <v>942328</v>
      </c>
      <c r="AJ465" s="158">
        <v>0</v>
      </c>
      <c r="AK465" s="158">
        <v>942328</v>
      </c>
      <c r="AL465" s="158">
        <v>942328</v>
      </c>
      <c r="AM465" s="158">
        <v>1728000</v>
      </c>
      <c r="AN465" s="158">
        <v>942328</v>
      </c>
      <c r="AO465" s="158">
        <v>942328</v>
      </c>
      <c r="AP465" s="158">
        <v>942000</v>
      </c>
      <c r="AQ465" s="432">
        <v>0</v>
      </c>
      <c r="AR465" s="432">
        <v>0</v>
      </c>
      <c r="AS465" s="432">
        <v>0</v>
      </c>
      <c r="AT465" s="432">
        <v>0</v>
      </c>
      <c r="AU465" s="432">
        <v>0</v>
      </c>
      <c r="AV465" s="432">
        <v>0</v>
      </c>
      <c r="AW465" s="432">
        <v>0</v>
      </c>
      <c r="AX465" s="432">
        <v>0</v>
      </c>
      <c r="AY465" s="158">
        <v>0</v>
      </c>
      <c r="AZ465" s="158">
        <v>0</v>
      </c>
      <c r="BA465" s="158">
        <v>0</v>
      </c>
      <c r="BB465" s="158">
        <v>0</v>
      </c>
      <c r="BC465" s="158">
        <v>0</v>
      </c>
      <c r="BD465" s="158">
        <v>0</v>
      </c>
      <c r="BE465" s="158">
        <v>0</v>
      </c>
      <c r="BF465" s="160">
        <v>0</v>
      </c>
      <c r="BG465" s="383">
        <v>2023</v>
      </c>
      <c r="BH465" s="383">
        <v>1</v>
      </c>
      <c r="BI465" s="383">
        <v>19</v>
      </c>
      <c r="BK465" s="147" t="str">
        <f>IF(R465=SUM(Z465,AH465,AP465,AX465,BF465),"○","×")</f>
        <v>○</v>
      </c>
    </row>
    <row r="466" spans="1:63" x14ac:dyDescent="0.2">
      <c r="A466" s="428">
        <v>1668</v>
      </c>
      <c r="B466" s="429"/>
      <c r="C466" s="430"/>
      <c r="D466" s="429"/>
      <c r="E466" s="430"/>
      <c r="F466" s="429"/>
      <c r="G466" s="429"/>
      <c r="H466" s="430"/>
      <c r="I466" s="429"/>
      <c r="J466" s="429"/>
      <c r="K466" s="429"/>
      <c r="L466" s="383"/>
      <c r="M466" s="383" t="s">
        <v>871</v>
      </c>
      <c r="N466" s="383" t="s">
        <v>367</v>
      </c>
      <c r="O466" s="383" t="s">
        <v>676</v>
      </c>
      <c r="P466" s="383" t="s">
        <v>970</v>
      </c>
      <c r="Q466" s="383"/>
      <c r="R466" s="431">
        <v>166000</v>
      </c>
      <c r="S466" s="158">
        <v>0</v>
      </c>
      <c r="T466" s="158">
        <v>0</v>
      </c>
      <c r="U466" s="158">
        <v>0</v>
      </c>
      <c r="V466" s="158">
        <v>0</v>
      </c>
      <c r="W466" s="158">
        <v>0</v>
      </c>
      <c r="X466" s="158">
        <v>0</v>
      </c>
      <c r="Y466" s="158">
        <v>0</v>
      </c>
      <c r="Z466" s="158">
        <v>0</v>
      </c>
      <c r="AA466" s="432">
        <v>0</v>
      </c>
      <c r="AB466" s="432">
        <v>0</v>
      </c>
      <c r="AC466" s="432">
        <v>0</v>
      </c>
      <c r="AD466" s="432">
        <v>0</v>
      </c>
      <c r="AE466" s="432">
        <v>0</v>
      </c>
      <c r="AF466" s="432">
        <v>0</v>
      </c>
      <c r="AG466" s="432">
        <v>0</v>
      </c>
      <c r="AH466" s="432">
        <v>0</v>
      </c>
      <c r="AI466" s="158">
        <v>166995</v>
      </c>
      <c r="AJ466" s="158">
        <v>0</v>
      </c>
      <c r="AK466" s="158">
        <v>166995</v>
      </c>
      <c r="AL466" s="158">
        <v>166995</v>
      </c>
      <c r="AM466" s="158">
        <v>1022400</v>
      </c>
      <c r="AN466" s="158">
        <v>166995</v>
      </c>
      <c r="AO466" s="158">
        <v>166995</v>
      </c>
      <c r="AP466" s="158">
        <v>166000</v>
      </c>
      <c r="AQ466" s="432">
        <v>0</v>
      </c>
      <c r="AR466" s="432">
        <v>0</v>
      </c>
      <c r="AS466" s="432">
        <v>0</v>
      </c>
      <c r="AT466" s="432">
        <v>0</v>
      </c>
      <c r="AU466" s="432">
        <v>0</v>
      </c>
      <c r="AV466" s="432">
        <v>0</v>
      </c>
      <c r="AW466" s="432">
        <v>0</v>
      </c>
      <c r="AX466" s="432">
        <v>0</v>
      </c>
      <c r="AY466" s="158">
        <v>0</v>
      </c>
      <c r="AZ466" s="158">
        <v>0</v>
      </c>
      <c r="BA466" s="158">
        <v>0</v>
      </c>
      <c r="BB466" s="158">
        <v>0</v>
      </c>
      <c r="BC466" s="158">
        <v>0</v>
      </c>
      <c r="BD466" s="158">
        <v>0</v>
      </c>
      <c r="BE466" s="158">
        <v>0</v>
      </c>
      <c r="BF466" s="160">
        <v>0</v>
      </c>
      <c r="BG466" s="383">
        <v>2023</v>
      </c>
      <c r="BH466" s="383">
        <v>1</v>
      </c>
      <c r="BI466" s="383">
        <v>19</v>
      </c>
      <c r="BK466" s="147" t="str">
        <f>IF(R466=SUM(Z466,AH466,AP466,AX466,BF466),"○","×")</f>
        <v>○</v>
      </c>
    </row>
    <row r="467" spans="1:63" x14ac:dyDescent="0.2">
      <c r="A467" s="428">
        <v>1670</v>
      </c>
      <c r="B467" s="429"/>
      <c r="C467" s="430"/>
      <c r="D467" s="429"/>
      <c r="E467" s="430"/>
      <c r="F467" s="429"/>
      <c r="G467" s="429"/>
      <c r="H467" s="430"/>
      <c r="I467" s="429"/>
      <c r="J467" s="429"/>
      <c r="K467" s="429"/>
      <c r="L467" s="383"/>
      <c r="M467" s="383" t="s">
        <v>872</v>
      </c>
      <c r="N467" s="383" t="s">
        <v>360</v>
      </c>
      <c r="O467" s="383" t="s">
        <v>348</v>
      </c>
      <c r="P467" s="383" t="s">
        <v>970</v>
      </c>
      <c r="Q467" s="383"/>
      <c r="R467" s="431">
        <v>76000</v>
      </c>
      <c r="S467" s="158">
        <v>0</v>
      </c>
      <c r="T467" s="158">
        <v>0</v>
      </c>
      <c r="U467" s="158">
        <v>0</v>
      </c>
      <c r="V467" s="158">
        <v>0</v>
      </c>
      <c r="W467" s="158">
        <v>0</v>
      </c>
      <c r="X467" s="158">
        <v>0</v>
      </c>
      <c r="Y467" s="158">
        <v>0</v>
      </c>
      <c r="Z467" s="158">
        <v>0</v>
      </c>
      <c r="AA467" s="432">
        <v>0</v>
      </c>
      <c r="AB467" s="432">
        <v>0</v>
      </c>
      <c r="AC467" s="432">
        <v>0</v>
      </c>
      <c r="AD467" s="432">
        <v>0</v>
      </c>
      <c r="AE467" s="432">
        <v>0</v>
      </c>
      <c r="AF467" s="432">
        <v>0</v>
      </c>
      <c r="AG467" s="432">
        <v>0</v>
      </c>
      <c r="AH467" s="432">
        <v>0</v>
      </c>
      <c r="AI467" s="158">
        <v>76249</v>
      </c>
      <c r="AJ467" s="158">
        <v>0</v>
      </c>
      <c r="AK467" s="158">
        <v>76249</v>
      </c>
      <c r="AL467" s="158">
        <v>76249</v>
      </c>
      <c r="AM467" s="158">
        <v>2034000</v>
      </c>
      <c r="AN467" s="158">
        <v>76249</v>
      </c>
      <c r="AO467" s="158">
        <v>76249</v>
      </c>
      <c r="AP467" s="158">
        <v>76000</v>
      </c>
      <c r="AQ467" s="432">
        <v>0</v>
      </c>
      <c r="AR467" s="432">
        <v>0</v>
      </c>
      <c r="AS467" s="432">
        <v>0</v>
      </c>
      <c r="AT467" s="432">
        <v>0</v>
      </c>
      <c r="AU467" s="432">
        <v>0</v>
      </c>
      <c r="AV467" s="432">
        <v>0</v>
      </c>
      <c r="AW467" s="432">
        <v>0</v>
      </c>
      <c r="AX467" s="432">
        <v>0</v>
      </c>
      <c r="AY467" s="158">
        <v>0</v>
      </c>
      <c r="AZ467" s="158">
        <v>0</v>
      </c>
      <c r="BA467" s="158">
        <v>0</v>
      </c>
      <c r="BB467" s="158">
        <v>0</v>
      </c>
      <c r="BC467" s="158">
        <v>0</v>
      </c>
      <c r="BD467" s="158">
        <v>0</v>
      </c>
      <c r="BE467" s="158">
        <v>0</v>
      </c>
      <c r="BF467" s="160">
        <v>0</v>
      </c>
      <c r="BG467" s="383">
        <v>2023</v>
      </c>
      <c r="BH467" s="383">
        <v>1</v>
      </c>
      <c r="BI467" s="383">
        <v>19</v>
      </c>
      <c r="BK467" s="147" t="str">
        <f>IF(R467=SUM(Z467,AH467,AP467,AX467,BF467),"○","×")</f>
        <v>○</v>
      </c>
    </row>
    <row r="468" spans="1:63" x14ac:dyDescent="0.2">
      <c r="A468" s="428">
        <v>1671</v>
      </c>
      <c r="B468" s="429"/>
      <c r="C468" s="430"/>
      <c r="D468" s="429"/>
      <c r="E468" s="430"/>
      <c r="F468" s="429"/>
      <c r="G468" s="429"/>
      <c r="H468" s="430"/>
      <c r="I468" s="429"/>
      <c r="J468" s="429"/>
      <c r="K468" s="429"/>
      <c r="L468" s="383"/>
      <c r="M468" s="383" t="s">
        <v>322</v>
      </c>
      <c r="N468" s="383" t="s">
        <v>323</v>
      </c>
      <c r="O468" s="383" t="s">
        <v>324</v>
      </c>
      <c r="P468" s="383" t="s">
        <v>970</v>
      </c>
      <c r="Q468" s="383"/>
      <c r="R468" s="431">
        <v>269000</v>
      </c>
      <c r="S468" s="158">
        <v>0</v>
      </c>
      <c r="T468" s="158">
        <v>0</v>
      </c>
      <c r="U468" s="158">
        <v>0</v>
      </c>
      <c r="V468" s="158">
        <v>0</v>
      </c>
      <c r="W468" s="158">
        <v>0</v>
      </c>
      <c r="X468" s="158">
        <v>0</v>
      </c>
      <c r="Y468" s="158">
        <v>0</v>
      </c>
      <c r="Z468" s="158">
        <v>0</v>
      </c>
      <c r="AA468" s="432">
        <v>0</v>
      </c>
      <c r="AB468" s="432">
        <v>0</v>
      </c>
      <c r="AC468" s="432">
        <v>0</v>
      </c>
      <c r="AD468" s="432">
        <v>0</v>
      </c>
      <c r="AE468" s="432">
        <v>0</v>
      </c>
      <c r="AF468" s="432">
        <v>0</v>
      </c>
      <c r="AG468" s="432">
        <v>0</v>
      </c>
      <c r="AH468" s="432">
        <v>0</v>
      </c>
      <c r="AI468" s="158">
        <v>269910</v>
      </c>
      <c r="AJ468" s="158">
        <v>0</v>
      </c>
      <c r="AK468" s="158">
        <v>269910</v>
      </c>
      <c r="AL468" s="158">
        <v>269910</v>
      </c>
      <c r="AM468" s="158">
        <v>5151600</v>
      </c>
      <c r="AN468" s="158">
        <v>269910</v>
      </c>
      <c r="AO468" s="158">
        <v>269910</v>
      </c>
      <c r="AP468" s="158">
        <v>269000</v>
      </c>
      <c r="AQ468" s="432">
        <v>0</v>
      </c>
      <c r="AR468" s="432">
        <v>0</v>
      </c>
      <c r="AS468" s="432">
        <v>0</v>
      </c>
      <c r="AT468" s="432">
        <v>0</v>
      </c>
      <c r="AU468" s="432">
        <v>0</v>
      </c>
      <c r="AV468" s="432">
        <v>0</v>
      </c>
      <c r="AW468" s="432">
        <v>0</v>
      </c>
      <c r="AX468" s="432">
        <v>0</v>
      </c>
      <c r="AY468" s="158">
        <v>0</v>
      </c>
      <c r="AZ468" s="158">
        <v>0</v>
      </c>
      <c r="BA468" s="158">
        <v>0</v>
      </c>
      <c r="BB468" s="158">
        <v>0</v>
      </c>
      <c r="BC468" s="158">
        <v>0</v>
      </c>
      <c r="BD468" s="158">
        <v>0</v>
      </c>
      <c r="BE468" s="158">
        <v>0</v>
      </c>
      <c r="BF468" s="160">
        <v>0</v>
      </c>
      <c r="BG468" s="383">
        <v>2023</v>
      </c>
      <c r="BH468" s="383">
        <v>1</v>
      </c>
      <c r="BI468" s="383">
        <v>19</v>
      </c>
      <c r="BK468" s="147" t="str">
        <f>IF(R468=SUM(Z468,AH468,AP468,AX468,BF468),"○","×")</f>
        <v>○</v>
      </c>
    </row>
    <row r="469" spans="1:63" x14ac:dyDescent="0.2">
      <c r="A469" s="428">
        <v>1672</v>
      </c>
      <c r="B469" s="429"/>
      <c r="C469" s="430"/>
      <c r="D469" s="429"/>
      <c r="E469" s="430"/>
      <c r="F469" s="429"/>
      <c r="G469" s="429"/>
      <c r="H469" s="430"/>
      <c r="I469" s="429"/>
      <c r="J469" s="429"/>
      <c r="K469" s="429"/>
      <c r="L469" s="383"/>
      <c r="M469" s="383" t="s">
        <v>422</v>
      </c>
      <c r="N469" s="383" t="s">
        <v>323</v>
      </c>
      <c r="O469" s="383" t="s">
        <v>423</v>
      </c>
      <c r="P469" s="383" t="s">
        <v>970</v>
      </c>
      <c r="Q469" s="383"/>
      <c r="R469" s="431">
        <v>20000</v>
      </c>
      <c r="S469" s="158">
        <v>0</v>
      </c>
      <c r="T469" s="158">
        <v>0</v>
      </c>
      <c r="U469" s="158">
        <v>0</v>
      </c>
      <c r="V469" s="158">
        <v>0</v>
      </c>
      <c r="W469" s="158">
        <v>0</v>
      </c>
      <c r="X469" s="158">
        <v>0</v>
      </c>
      <c r="Y469" s="158">
        <v>0</v>
      </c>
      <c r="Z469" s="158">
        <v>0</v>
      </c>
      <c r="AA469" s="432">
        <v>0</v>
      </c>
      <c r="AB469" s="432">
        <v>0</v>
      </c>
      <c r="AC469" s="432">
        <v>0</v>
      </c>
      <c r="AD469" s="432">
        <v>0</v>
      </c>
      <c r="AE469" s="432">
        <v>0</v>
      </c>
      <c r="AF469" s="432">
        <v>0</v>
      </c>
      <c r="AG469" s="432">
        <v>0</v>
      </c>
      <c r="AH469" s="432">
        <v>0</v>
      </c>
      <c r="AI469" s="158">
        <v>20900</v>
      </c>
      <c r="AJ469" s="158">
        <v>0</v>
      </c>
      <c r="AK469" s="158">
        <v>20900</v>
      </c>
      <c r="AL469" s="158">
        <v>20900</v>
      </c>
      <c r="AM469" s="158">
        <v>3196800</v>
      </c>
      <c r="AN469" s="158">
        <v>20900</v>
      </c>
      <c r="AO469" s="158">
        <v>20900</v>
      </c>
      <c r="AP469" s="158">
        <v>20000</v>
      </c>
      <c r="AQ469" s="432">
        <v>0</v>
      </c>
      <c r="AR469" s="432">
        <v>0</v>
      </c>
      <c r="AS469" s="432">
        <v>0</v>
      </c>
      <c r="AT469" s="432">
        <v>0</v>
      </c>
      <c r="AU469" s="432">
        <v>0</v>
      </c>
      <c r="AV469" s="432">
        <v>0</v>
      </c>
      <c r="AW469" s="432">
        <v>0</v>
      </c>
      <c r="AX469" s="432">
        <v>0</v>
      </c>
      <c r="AY469" s="158">
        <v>0</v>
      </c>
      <c r="AZ469" s="158">
        <v>0</v>
      </c>
      <c r="BA469" s="158">
        <v>0</v>
      </c>
      <c r="BB469" s="158">
        <v>0</v>
      </c>
      <c r="BC469" s="158">
        <v>0</v>
      </c>
      <c r="BD469" s="158">
        <v>0</v>
      </c>
      <c r="BE469" s="158">
        <v>0</v>
      </c>
      <c r="BF469" s="160">
        <v>0</v>
      </c>
      <c r="BG469" s="383">
        <v>2023</v>
      </c>
      <c r="BH469" s="383">
        <v>1</v>
      </c>
      <c r="BI469" s="383">
        <v>19</v>
      </c>
      <c r="BK469" s="147" t="str">
        <f>IF(R469=SUM(Z469,AH469,AP469,AX469,BF469),"○","×")</f>
        <v>○</v>
      </c>
    </row>
    <row r="470" spans="1:63" x14ac:dyDescent="0.2">
      <c r="A470" s="428">
        <v>1673</v>
      </c>
      <c r="B470" s="429"/>
      <c r="C470" s="430"/>
      <c r="D470" s="429"/>
      <c r="E470" s="430"/>
      <c r="F470" s="429"/>
      <c r="G470" s="429"/>
      <c r="H470" s="430"/>
      <c r="I470" s="429"/>
      <c r="J470" s="429"/>
      <c r="K470" s="429"/>
      <c r="L470" s="383"/>
      <c r="M470" s="383" t="s">
        <v>526</v>
      </c>
      <c r="N470" s="383" t="s">
        <v>329</v>
      </c>
      <c r="O470" s="383" t="s">
        <v>506</v>
      </c>
      <c r="P470" s="383" t="s">
        <v>970</v>
      </c>
      <c r="Q470" s="383"/>
      <c r="R470" s="431">
        <v>311000</v>
      </c>
      <c r="S470" s="158">
        <v>0</v>
      </c>
      <c r="T470" s="158">
        <v>0</v>
      </c>
      <c r="U470" s="158">
        <v>0</v>
      </c>
      <c r="V470" s="158">
        <v>0</v>
      </c>
      <c r="W470" s="158">
        <v>0</v>
      </c>
      <c r="X470" s="158">
        <v>0</v>
      </c>
      <c r="Y470" s="158">
        <v>0</v>
      </c>
      <c r="Z470" s="158">
        <v>0</v>
      </c>
      <c r="AA470" s="432">
        <v>0</v>
      </c>
      <c r="AB470" s="432">
        <v>0</v>
      </c>
      <c r="AC470" s="432">
        <v>0</v>
      </c>
      <c r="AD470" s="432">
        <v>0</v>
      </c>
      <c r="AE470" s="432">
        <v>0</v>
      </c>
      <c r="AF470" s="432">
        <v>0</v>
      </c>
      <c r="AG470" s="432">
        <v>0</v>
      </c>
      <c r="AH470" s="432">
        <v>0</v>
      </c>
      <c r="AI470" s="158">
        <v>311307</v>
      </c>
      <c r="AJ470" s="158">
        <v>0</v>
      </c>
      <c r="AK470" s="158">
        <v>311307</v>
      </c>
      <c r="AL470" s="158">
        <v>311307</v>
      </c>
      <c r="AM470" s="158">
        <v>2160000</v>
      </c>
      <c r="AN470" s="158">
        <v>311307</v>
      </c>
      <c r="AO470" s="158">
        <v>311307</v>
      </c>
      <c r="AP470" s="158">
        <v>311000</v>
      </c>
      <c r="AQ470" s="432">
        <v>0</v>
      </c>
      <c r="AR470" s="432">
        <v>0</v>
      </c>
      <c r="AS470" s="432">
        <v>0</v>
      </c>
      <c r="AT470" s="432">
        <v>0</v>
      </c>
      <c r="AU470" s="432">
        <v>0</v>
      </c>
      <c r="AV470" s="432">
        <v>0</v>
      </c>
      <c r="AW470" s="432">
        <v>0</v>
      </c>
      <c r="AX470" s="432">
        <v>0</v>
      </c>
      <c r="AY470" s="158">
        <v>0</v>
      </c>
      <c r="AZ470" s="158">
        <v>0</v>
      </c>
      <c r="BA470" s="158">
        <v>0</v>
      </c>
      <c r="BB470" s="158">
        <v>0</v>
      </c>
      <c r="BC470" s="158">
        <v>0</v>
      </c>
      <c r="BD470" s="158">
        <v>0</v>
      </c>
      <c r="BE470" s="158">
        <v>0</v>
      </c>
      <c r="BF470" s="160">
        <v>0</v>
      </c>
      <c r="BG470" s="383">
        <v>2023</v>
      </c>
      <c r="BH470" s="383">
        <v>1</v>
      </c>
      <c r="BI470" s="383">
        <v>19</v>
      </c>
      <c r="BK470" s="147" t="str">
        <f>IF(R470=SUM(Z470,AH470,AP470,AX470,BF470),"○","×")</f>
        <v>○</v>
      </c>
    </row>
    <row r="471" spans="1:63" x14ac:dyDescent="0.2">
      <c r="A471" s="428">
        <v>1674</v>
      </c>
      <c r="B471" s="429"/>
      <c r="C471" s="430"/>
      <c r="D471" s="429"/>
      <c r="E471" s="430"/>
      <c r="F471" s="429"/>
      <c r="G471" s="429"/>
      <c r="H471" s="430"/>
      <c r="I471" s="429"/>
      <c r="J471" s="429"/>
      <c r="K471" s="429"/>
      <c r="L471" s="383"/>
      <c r="M471" s="383" t="s">
        <v>873</v>
      </c>
      <c r="N471" s="383" t="s">
        <v>447</v>
      </c>
      <c r="O471" s="383" t="s">
        <v>863</v>
      </c>
      <c r="P471" s="383" t="s">
        <v>970</v>
      </c>
      <c r="Q471" s="383"/>
      <c r="R471" s="431">
        <v>1191000</v>
      </c>
      <c r="S471" s="158">
        <v>0</v>
      </c>
      <c r="T471" s="158">
        <v>0</v>
      </c>
      <c r="U471" s="158">
        <v>0</v>
      </c>
      <c r="V471" s="158">
        <v>0</v>
      </c>
      <c r="W471" s="158">
        <v>0</v>
      </c>
      <c r="X471" s="158">
        <v>0</v>
      </c>
      <c r="Y471" s="158">
        <v>0</v>
      </c>
      <c r="Z471" s="158">
        <v>0</v>
      </c>
      <c r="AA471" s="432">
        <v>0</v>
      </c>
      <c r="AB471" s="432">
        <v>0</v>
      </c>
      <c r="AC471" s="432">
        <v>0</v>
      </c>
      <c r="AD471" s="432">
        <v>0</v>
      </c>
      <c r="AE471" s="432">
        <v>0</v>
      </c>
      <c r="AF471" s="432">
        <v>0</v>
      </c>
      <c r="AG471" s="432">
        <v>0</v>
      </c>
      <c r="AH471" s="432">
        <v>0</v>
      </c>
      <c r="AI471" s="158">
        <v>1191780</v>
      </c>
      <c r="AJ471" s="158">
        <v>0</v>
      </c>
      <c r="AK471" s="158">
        <v>1191780</v>
      </c>
      <c r="AL471" s="158">
        <v>1191780</v>
      </c>
      <c r="AM471" s="158">
        <v>8478000</v>
      </c>
      <c r="AN471" s="158">
        <v>1191780</v>
      </c>
      <c r="AO471" s="158">
        <v>1191780</v>
      </c>
      <c r="AP471" s="158">
        <v>1191000</v>
      </c>
      <c r="AQ471" s="432">
        <v>0</v>
      </c>
      <c r="AR471" s="432">
        <v>0</v>
      </c>
      <c r="AS471" s="432">
        <v>0</v>
      </c>
      <c r="AT471" s="432">
        <v>0</v>
      </c>
      <c r="AU471" s="432">
        <v>0</v>
      </c>
      <c r="AV471" s="432">
        <v>0</v>
      </c>
      <c r="AW471" s="432">
        <v>0</v>
      </c>
      <c r="AX471" s="432">
        <v>0</v>
      </c>
      <c r="AY471" s="158">
        <v>0</v>
      </c>
      <c r="AZ471" s="158">
        <v>0</v>
      </c>
      <c r="BA471" s="158">
        <v>0</v>
      </c>
      <c r="BB471" s="158">
        <v>0</v>
      </c>
      <c r="BC471" s="158">
        <v>0</v>
      </c>
      <c r="BD471" s="158">
        <v>0</v>
      </c>
      <c r="BE471" s="158">
        <v>0</v>
      </c>
      <c r="BF471" s="160">
        <v>0</v>
      </c>
      <c r="BG471" s="383">
        <v>2023</v>
      </c>
      <c r="BH471" s="383">
        <v>1</v>
      </c>
      <c r="BI471" s="383">
        <v>19</v>
      </c>
      <c r="BK471" s="147" t="str">
        <f>IF(R471=SUM(Z471,AH471,AP471,AX471,BF471),"○","×")</f>
        <v>○</v>
      </c>
    </row>
    <row r="472" spans="1:63" x14ac:dyDescent="0.2">
      <c r="A472" s="428">
        <v>1675</v>
      </c>
      <c r="B472" s="429"/>
      <c r="C472" s="430"/>
      <c r="D472" s="429"/>
      <c r="E472" s="430"/>
      <c r="F472" s="429"/>
      <c r="G472" s="429"/>
      <c r="H472" s="430"/>
      <c r="I472" s="429"/>
      <c r="J472" s="429"/>
      <c r="K472" s="429"/>
      <c r="L472" s="383"/>
      <c r="M472" s="383" t="s">
        <v>552</v>
      </c>
      <c r="N472" s="383" t="s">
        <v>353</v>
      </c>
      <c r="O472" s="383" t="s">
        <v>346</v>
      </c>
      <c r="P472" s="383" t="s">
        <v>970</v>
      </c>
      <c r="Q472" s="383"/>
      <c r="R472" s="431">
        <v>359000</v>
      </c>
      <c r="S472" s="158">
        <v>0</v>
      </c>
      <c r="T472" s="158">
        <v>0</v>
      </c>
      <c r="U472" s="158">
        <v>0</v>
      </c>
      <c r="V472" s="158">
        <v>0</v>
      </c>
      <c r="W472" s="158">
        <v>0</v>
      </c>
      <c r="X472" s="158">
        <v>0</v>
      </c>
      <c r="Y472" s="158">
        <v>0</v>
      </c>
      <c r="Z472" s="158">
        <v>0</v>
      </c>
      <c r="AA472" s="432">
        <v>0</v>
      </c>
      <c r="AB472" s="432">
        <v>0</v>
      </c>
      <c r="AC472" s="432">
        <v>0</v>
      </c>
      <c r="AD472" s="432">
        <v>0</v>
      </c>
      <c r="AE472" s="432">
        <v>0</v>
      </c>
      <c r="AF472" s="432">
        <v>0</v>
      </c>
      <c r="AG472" s="432">
        <v>0</v>
      </c>
      <c r="AH472" s="432">
        <v>0</v>
      </c>
      <c r="AI472" s="158">
        <v>359510</v>
      </c>
      <c r="AJ472" s="158">
        <v>0</v>
      </c>
      <c r="AK472" s="158">
        <v>359510</v>
      </c>
      <c r="AL472" s="158">
        <v>359510</v>
      </c>
      <c r="AM472" s="158">
        <v>1699200</v>
      </c>
      <c r="AN472" s="158">
        <v>359510</v>
      </c>
      <c r="AO472" s="158">
        <v>359510</v>
      </c>
      <c r="AP472" s="158">
        <v>359000</v>
      </c>
      <c r="AQ472" s="432">
        <v>0</v>
      </c>
      <c r="AR472" s="432">
        <v>0</v>
      </c>
      <c r="AS472" s="432">
        <v>0</v>
      </c>
      <c r="AT472" s="432">
        <v>0</v>
      </c>
      <c r="AU472" s="432">
        <v>0</v>
      </c>
      <c r="AV472" s="432">
        <v>0</v>
      </c>
      <c r="AW472" s="432">
        <v>0</v>
      </c>
      <c r="AX472" s="432">
        <v>0</v>
      </c>
      <c r="AY472" s="158">
        <v>0</v>
      </c>
      <c r="AZ472" s="158">
        <v>0</v>
      </c>
      <c r="BA472" s="158">
        <v>0</v>
      </c>
      <c r="BB472" s="158">
        <v>0</v>
      </c>
      <c r="BC472" s="158">
        <v>0</v>
      </c>
      <c r="BD472" s="158">
        <v>0</v>
      </c>
      <c r="BE472" s="158">
        <v>0</v>
      </c>
      <c r="BF472" s="160">
        <v>0</v>
      </c>
      <c r="BG472" s="383">
        <v>2023</v>
      </c>
      <c r="BH472" s="383">
        <v>1</v>
      </c>
      <c r="BI472" s="383">
        <v>19</v>
      </c>
      <c r="BK472" s="147" t="str">
        <f>IF(R472=SUM(Z472,AH472,AP472,AX472,BF472),"○","×")</f>
        <v>○</v>
      </c>
    </row>
    <row r="473" spans="1:63" x14ac:dyDescent="0.2">
      <c r="A473" s="428">
        <v>1676</v>
      </c>
      <c r="B473" s="429"/>
      <c r="C473" s="430"/>
      <c r="D473" s="429"/>
      <c r="E473" s="430"/>
      <c r="F473" s="429"/>
      <c r="G473" s="429"/>
      <c r="H473" s="430"/>
      <c r="I473" s="429"/>
      <c r="J473" s="429"/>
      <c r="K473" s="429"/>
      <c r="L473" s="383"/>
      <c r="M473" s="383" t="s">
        <v>874</v>
      </c>
      <c r="N473" s="383" t="s">
        <v>367</v>
      </c>
      <c r="O473" s="383" t="s">
        <v>464</v>
      </c>
      <c r="P473" s="383" t="s">
        <v>970</v>
      </c>
      <c r="Q473" s="383"/>
      <c r="R473" s="431">
        <v>396000</v>
      </c>
      <c r="S473" s="158">
        <v>0</v>
      </c>
      <c r="T473" s="158">
        <v>0</v>
      </c>
      <c r="U473" s="158">
        <v>0</v>
      </c>
      <c r="V473" s="158">
        <v>0</v>
      </c>
      <c r="W473" s="158">
        <v>0</v>
      </c>
      <c r="X473" s="158">
        <v>0</v>
      </c>
      <c r="Y473" s="158">
        <v>0</v>
      </c>
      <c r="Z473" s="158">
        <v>0</v>
      </c>
      <c r="AA473" s="432">
        <v>0</v>
      </c>
      <c r="AB473" s="432">
        <v>0</v>
      </c>
      <c r="AC473" s="432">
        <v>0</v>
      </c>
      <c r="AD473" s="432">
        <v>0</v>
      </c>
      <c r="AE473" s="432">
        <v>0</v>
      </c>
      <c r="AF473" s="432">
        <v>0</v>
      </c>
      <c r="AG473" s="432">
        <v>0</v>
      </c>
      <c r="AH473" s="432">
        <v>0</v>
      </c>
      <c r="AI473" s="158">
        <v>396000</v>
      </c>
      <c r="AJ473" s="158">
        <v>0</v>
      </c>
      <c r="AK473" s="158">
        <v>396000</v>
      </c>
      <c r="AL473" s="158">
        <v>396000</v>
      </c>
      <c r="AM473" s="158">
        <v>3067200</v>
      </c>
      <c r="AN473" s="158">
        <v>396000</v>
      </c>
      <c r="AO473" s="158">
        <v>396000</v>
      </c>
      <c r="AP473" s="158">
        <v>396000</v>
      </c>
      <c r="AQ473" s="432">
        <v>0</v>
      </c>
      <c r="AR473" s="432">
        <v>0</v>
      </c>
      <c r="AS473" s="432">
        <v>0</v>
      </c>
      <c r="AT473" s="432">
        <v>0</v>
      </c>
      <c r="AU473" s="432">
        <v>0</v>
      </c>
      <c r="AV473" s="432">
        <v>0</v>
      </c>
      <c r="AW473" s="432">
        <v>0</v>
      </c>
      <c r="AX473" s="432">
        <v>0</v>
      </c>
      <c r="AY473" s="158">
        <v>0</v>
      </c>
      <c r="AZ473" s="158">
        <v>0</v>
      </c>
      <c r="BA473" s="158">
        <v>0</v>
      </c>
      <c r="BB473" s="158">
        <v>0</v>
      </c>
      <c r="BC473" s="158">
        <v>0</v>
      </c>
      <c r="BD473" s="158">
        <v>0</v>
      </c>
      <c r="BE473" s="158">
        <v>0</v>
      </c>
      <c r="BF473" s="160">
        <v>0</v>
      </c>
      <c r="BG473" s="383">
        <v>2023</v>
      </c>
      <c r="BH473" s="383">
        <v>1</v>
      </c>
      <c r="BI473" s="383">
        <v>19</v>
      </c>
      <c r="BK473" s="147" t="str">
        <f>IF(R473=SUM(Z473,AH473,AP473,AX473,BF473),"○","×")</f>
        <v>○</v>
      </c>
    </row>
    <row r="474" spans="1:63" x14ac:dyDescent="0.2">
      <c r="A474" s="428">
        <v>1677</v>
      </c>
      <c r="B474" s="429"/>
      <c r="C474" s="430"/>
      <c r="D474" s="429"/>
      <c r="E474" s="430"/>
      <c r="F474" s="429"/>
      <c r="G474" s="429"/>
      <c r="H474" s="430"/>
      <c r="I474" s="429"/>
      <c r="J474" s="429"/>
      <c r="K474" s="429"/>
      <c r="L474" s="383"/>
      <c r="M474" s="383" t="s">
        <v>875</v>
      </c>
      <c r="N474" s="383" t="s">
        <v>384</v>
      </c>
      <c r="O474" s="383" t="s">
        <v>324</v>
      </c>
      <c r="P474" s="383" t="s">
        <v>970</v>
      </c>
      <c r="Q474" s="383"/>
      <c r="R474" s="431">
        <v>3803000</v>
      </c>
      <c r="S474" s="158">
        <v>0</v>
      </c>
      <c r="T474" s="158">
        <v>0</v>
      </c>
      <c r="U474" s="158">
        <v>0</v>
      </c>
      <c r="V474" s="158">
        <v>0</v>
      </c>
      <c r="W474" s="158">
        <v>0</v>
      </c>
      <c r="X474" s="158">
        <v>0</v>
      </c>
      <c r="Y474" s="158">
        <v>0</v>
      </c>
      <c r="Z474" s="158">
        <v>0</v>
      </c>
      <c r="AA474" s="432">
        <v>0</v>
      </c>
      <c r="AB474" s="432">
        <v>0</v>
      </c>
      <c r="AC474" s="432">
        <v>0</v>
      </c>
      <c r="AD474" s="432">
        <v>0</v>
      </c>
      <c r="AE474" s="432">
        <v>0</v>
      </c>
      <c r="AF474" s="432">
        <v>0</v>
      </c>
      <c r="AG474" s="432">
        <v>0</v>
      </c>
      <c r="AH474" s="432">
        <v>0</v>
      </c>
      <c r="AI474" s="158">
        <v>3803168</v>
      </c>
      <c r="AJ474" s="158">
        <v>0</v>
      </c>
      <c r="AK474" s="158">
        <v>3803168</v>
      </c>
      <c r="AL474" s="158">
        <v>3803168</v>
      </c>
      <c r="AM474" s="158">
        <v>4118400</v>
      </c>
      <c r="AN474" s="158">
        <v>3803168</v>
      </c>
      <c r="AO474" s="158">
        <v>3803168</v>
      </c>
      <c r="AP474" s="158">
        <v>3803000</v>
      </c>
      <c r="AQ474" s="432">
        <v>0</v>
      </c>
      <c r="AR474" s="432">
        <v>0</v>
      </c>
      <c r="AS474" s="432">
        <v>0</v>
      </c>
      <c r="AT474" s="432">
        <v>0</v>
      </c>
      <c r="AU474" s="432">
        <v>0</v>
      </c>
      <c r="AV474" s="432">
        <v>0</v>
      </c>
      <c r="AW474" s="432">
        <v>0</v>
      </c>
      <c r="AX474" s="432">
        <v>0</v>
      </c>
      <c r="AY474" s="158">
        <v>0</v>
      </c>
      <c r="AZ474" s="158">
        <v>0</v>
      </c>
      <c r="BA474" s="158">
        <v>0</v>
      </c>
      <c r="BB474" s="158">
        <v>0</v>
      </c>
      <c r="BC474" s="158">
        <v>0</v>
      </c>
      <c r="BD474" s="158">
        <v>0</v>
      </c>
      <c r="BE474" s="158">
        <v>0</v>
      </c>
      <c r="BF474" s="160">
        <v>0</v>
      </c>
      <c r="BG474" s="383">
        <v>2023</v>
      </c>
      <c r="BH474" s="383">
        <v>1</v>
      </c>
      <c r="BI474" s="383">
        <v>19</v>
      </c>
      <c r="BK474" s="147" t="str">
        <f>IF(R474=SUM(Z474,AH474,AP474,AX474,BF474),"○","×")</f>
        <v>○</v>
      </c>
    </row>
    <row r="475" spans="1:63" x14ac:dyDescent="0.2">
      <c r="A475" s="428">
        <v>1678</v>
      </c>
      <c r="B475" s="429"/>
      <c r="C475" s="430"/>
      <c r="D475" s="429"/>
      <c r="E475" s="430"/>
      <c r="F475" s="429"/>
      <c r="G475" s="429"/>
      <c r="H475" s="430"/>
      <c r="I475" s="429"/>
      <c r="J475" s="429"/>
      <c r="K475" s="429"/>
      <c r="L475" s="383"/>
      <c r="M475" s="383" t="s">
        <v>876</v>
      </c>
      <c r="N475" s="383" t="s">
        <v>326</v>
      </c>
      <c r="O475" s="383" t="s">
        <v>877</v>
      </c>
      <c r="P475" s="383" t="s">
        <v>970</v>
      </c>
      <c r="Q475" s="383"/>
      <c r="R475" s="431">
        <v>149000</v>
      </c>
      <c r="S475" s="158">
        <v>0</v>
      </c>
      <c r="T475" s="158">
        <v>0</v>
      </c>
      <c r="U475" s="158">
        <v>0</v>
      </c>
      <c r="V475" s="158">
        <v>0</v>
      </c>
      <c r="W475" s="158">
        <v>0</v>
      </c>
      <c r="X475" s="158">
        <v>0</v>
      </c>
      <c r="Y475" s="158">
        <v>0</v>
      </c>
      <c r="Z475" s="158">
        <v>0</v>
      </c>
      <c r="AA475" s="432">
        <v>0</v>
      </c>
      <c r="AB475" s="432">
        <v>0</v>
      </c>
      <c r="AC475" s="432">
        <v>0</v>
      </c>
      <c r="AD475" s="432">
        <v>0</v>
      </c>
      <c r="AE475" s="432">
        <v>0</v>
      </c>
      <c r="AF475" s="432">
        <v>0</v>
      </c>
      <c r="AG475" s="432">
        <v>0</v>
      </c>
      <c r="AH475" s="432">
        <v>0</v>
      </c>
      <c r="AI475" s="158">
        <v>149250</v>
      </c>
      <c r="AJ475" s="158">
        <v>0</v>
      </c>
      <c r="AK475" s="158">
        <v>149250</v>
      </c>
      <c r="AL475" s="158">
        <v>149250</v>
      </c>
      <c r="AM475" s="158">
        <v>856800</v>
      </c>
      <c r="AN475" s="158">
        <v>149250</v>
      </c>
      <c r="AO475" s="158">
        <v>149250</v>
      </c>
      <c r="AP475" s="158">
        <v>149000</v>
      </c>
      <c r="AQ475" s="432">
        <v>0</v>
      </c>
      <c r="AR475" s="432">
        <v>0</v>
      </c>
      <c r="AS475" s="432">
        <v>0</v>
      </c>
      <c r="AT475" s="432">
        <v>0</v>
      </c>
      <c r="AU475" s="432">
        <v>0</v>
      </c>
      <c r="AV475" s="432">
        <v>0</v>
      </c>
      <c r="AW475" s="432">
        <v>0</v>
      </c>
      <c r="AX475" s="432">
        <v>0</v>
      </c>
      <c r="AY475" s="158">
        <v>0</v>
      </c>
      <c r="AZ475" s="158">
        <v>0</v>
      </c>
      <c r="BA475" s="158">
        <v>0</v>
      </c>
      <c r="BB475" s="158">
        <v>0</v>
      </c>
      <c r="BC475" s="158">
        <v>0</v>
      </c>
      <c r="BD475" s="158">
        <v>0</v>
      </c>
      <c r="BE475" s="158">
        <v>0</v>
      </c>
      <c r="BF475" s="160">
        <v>0</v>
      </c>
      <c r="BG475" s="383">
        <v>2023</v>
      </c>
      <c r="BH475" s="383">
        <v>1</v>
      </c>
      <c r="BI475" s="383">
        <v>19</v>
      </c>
      <c r="BK475" s="147" t="str">
        <f>IF(R475=SUM(Z475,AH475,AP475,AX475,BF475),"○","×")</f>
        <v>○</v>
      </c>
    </row>
    <row r="476" spans="1:63" x14ac:dyDescent="0.2">
      <c r="A476" s="428">
        <v>1679</v>
      </c>
      <c r="B476" s="429"/>
      <c r="C476" s="430"/>
      <c r="D476" s="429"/>
      <c r="E476" s="430"/>
      <c r="F476" s="429"/>
      <c r="G476" s="429"/>
      <c r="H476" s="430"/>
      <c r="I476" s="429"/>
      <c r="J476" s="429"/>
      <c r="K476" s="429"/>
      <c r="L476" s="383"/>
      <c r="M476" s="383" t="s">
        <v>878</v>
      </c>
      <c r="N476" s="383" t="s">
        <v>367</v>
      </c>
      <c r="O476" s="383" t="s">
        <v>733</v>
      </c>
      <c r="P476" s="383" t="s">
        <v>970</v>
      </c>
      <c r="Q476" s="383"/>
      <c r="R476" s="431">
        <v>1099000</v>
      </c>
      <c r="S476" s="158">
        <v>0</v>
      </c>
      <c r="T476" s="158">
        <v>0</v>
      </c>
      <c r="U476" s="158">
        <v>0</v>
      </c>
      <c r="V476" s="158">
        <v>0</v>
      </c>
      <c r="W476" s="158">
        <v>0</v>
      </c>
      <c r="X476" s="158">
        <v>0</v>
      </c>
      <c r="Y476" s="158">
        <v>0</v>
      </c>
      <c r="Z476" s="158">
        <v>0</v>
      </c>
      <c r="AA476" s="432">
        <v>0</v>
      </c>
      <c r="AB476" s="432">
        <v>0</v>
      </c>
      <c r="AC476" s="432">
        <v>0</v>
      </c>
      <c r="AD476" s="432">
        <v>0</v>
      </c>
      <c r="AE476" s="432">
        <v>0</v>
      </c>
      <c r="AF476" s="432">
        <v>0</v>
      </c>
      <c r="AG476" s="432">
        <v>0</v>
      </c>
      <c r="AH476" s="432">
        <v>0</v>
      </c>
      <c r="AI476" s="158">
        <v>1099450</v>
      </c>
      <c r="AJ476" s="158">
        <v>0</v>
      </c>
      <c r="AK476" s="158">
        <v>1099450</v>
      </c>
      <c r="AL476" s="158">
        <v>1099450</v>
      </c>
      <c r="AM476" s="158">
        <v>3088800</v>
      </c>
      <c r="AN476" s="158">
        <v>1099450</v>
      </c>
      <c r="AO476" s="158">
        <v>1099450</v>
      </c>
      <c r="AP476" s="158">
        <v>1099000</v>
      </c>
      <c r="AQ476" s="432">
        <v>0</v>
      </c>
      <c r="AR476" s="432">
        <v>0</v>
      </c>
      <c r="AS476" s="432">
        <v>0</v>
      </c>
      <c r="AT476" s="432">
        <v>0</v>
      </c>
      <c r="AU476" s="432">
        <v>0</v>
      </c>
      <c r="AV476" s="432">
        <v>0</v>
      </c>
      <c r="AW476" s="432">
        <v>0</v>
      </c>
      <c r="AX476" s="432">
        <v>0</v>
      </c>
      <c r="AY476" s="158">
        <v>0</v>
      </c>
      <c r="AZ476" s="158">
        <v>0</v>
      </c>
      <c r="BA476" s="158">
        <v>0</v>
      </c>
      <c r="BB476" s="158">
        <v>0</v>
      </c>
      <c r="BC476" s="158">
        <v>0</v>
      </c>
      <c r="BD476" s="158">
        <v>0</v>
      </c>
      <c r="BE476" s="158">
        <v>0</v>
      </c>
      <c r="BF476" s="160">
        <v>0</v>
      </c>
      <c r="BG476" s="383">
        <v>2023</v>
      </c>
      <c r="BH476" s="383">
        <v>1</v>
      </c>
      <c r="BI476" s="383">
        <v>19</v>
      </c>
      <c r="BK476" s="147" t="str">
        <f>IF(R476=SUM(Z476,AH476,AP476,AX476,BF476),"○","×")</f>
        <v>○</v>
      </c>
    </row>
    <row r="477" spans="1:63" x14ac:dyDescent="0.2">
      <c r="A477" s="428">
        <v>1680</v>
      </c>
      <c r="B477" s="429"/>
      <c r="C477" s="430"/>
      <c r="D477" s="429"/>
      <c r="E477" s="430"/>
      <c r="F477" s="429"/>
      <c r="G477" s="429"/>
      <c r="H477" s="430"/>
      <c r="I477" s="429"/>
      <c r="J477" s="429"/>
      <c r="K477" s="429"/>
      <c r="L477" s="383"/>
      <c r="M477" s="383" t="s">
        <v>879</v>
      </c>
      <c r="N477" s="383" t="s">
        <v>329</v>
      </c>
      <c r="O477" s="383" t="s">
        <v>880</v>
      </c>
      <c r="P477" s="383" t="s">
        <v>970</v>
      </c>
      <c r="Q477" s="383"/>
      <c r="R477" s="431">
        <v>73000</v>
      </c>
      <c r="S477" s="158">
        <v>0</v>
      </c>
      <c r="T477" s="158">
        <v>0</v>
      </c>
      <c r="U477" s="158">
        <v>0</v>
      </c>
      <c r="V477" s="158">
        <v>0</v>
      </c>
      <c r="W477" s="158">
        <v>0</v>
      </c>
      <c r="X477" s="158">
        <v>0</v>
      </c>
      <c r="Y477" s="158">
        <v>0</v>
      </c>
      <c r="Z477" s="158">
        <v>0</v>
      </c>
      <c r="AA477" s="432">
        <v>0</v>
      </c>
      <c r="AB477" s="432">
        <v>0</v>
      </c>
      <c r="AC477" s="432">
        <v>0</v>
      </c>
      <c r="AD477" s="432">
        <v>0</v>
      </c>
      <c r="AE477" s="432">
        <v>0</v>
      </c>
      <c r="AF477" s="432">
        <v>0</v>
      </c>
      <c r="AG477" s="432">
        <v>0</v>
      </c>
      <c r="AH477" s="432">
        <v>0</v>
      </c>
      <c r="AI477" s="158">
        <v>73755</v>
      </c>
      <c r="AJ477" s="158">
        <v>0</v>
      </c>
      <c r="AK477" s="158">
        <v>73755</v>
      </c>
      <c r="AL477" s="158">
        <v>73755</v>
      </c>
      <c r="AM477" s="158">
        <v>5220000</v>
      </c>
      <c r="AN477" s="158">
        <v>73755</v>
      </c>
      <c r="AO477" s="158">
        <v>73755</v>
      </c>
      <c r="AP477" s="158">
        <v>73000</v>
      </c>
      <c r="AQ477" s="432">
        <v>0</v>
      </c>
      <c r="AR477" s="432">
        <v>0</v>
      </c>
      <c r="AS477" s="432">
        <v>0</v>
      </c>
      <c r="AT477" s="432">
        <v>0</v>
      </c>
      <c r="AU477" s="432">
        <v>0</v>
      </c>
      <c r="AV477" s="432">
        <v>0</v>
      </c>
      <c r="AW477" s="432">
        <v>0</v>
      </c>
      <c r="AX477" s="432">
        <v>0</v>
      </c>
      <c r="AY477" s="158">
        <v>0</v>
      </c>
      <c r="AZ477" s="158">
        <v>0</v>
      </c>
      <c r="BA477" s="158">
        <v>0</v>
      </c>
      <c r="BB477" s="158">
        <v>0</v>
      </c>
      <c r="BC477" s="158">
        <v>0</v>
      </c>
      <c r="BD477" s="158">
        <v>0</v>
      </c>
      <c r="BE477" s="158">
        <v>0</v>
      </c>
      <c r="BF477" s="160">
        <v>0</v>
      </c>
      <c r="BG477" s="383">
        <v>2023</v>
      </c>
      <c r="BH477" s="383">
        <v>1</v>
      </c>
      <c r="BI477" s="383">
        <v>19</v>
      </c>
      <c r="BK477" s="147" t="str">
        <f>IF(R477=SUM(Z477,AH477,AP477,AX477,BF477),"○","×")</f>
        <v>○</v>
      </c>
    </row>
    <row r="478" spans="1:63" x14ac:dyDescent="0.2">
      <c r="A478" s="428">
        <v>1681</v>
      </c>
      <c r="B478" s="429"/>
      <c r="C478" s="430"/>
      <c r="D478" s="429"/>
      <c r="E478" s="430"/>
      <c r="F478" s="429"/>
      <c r="G478" s="429"/>
      <c r="H478" s="430"/>
      <c r="I478" s="429"/>
      <c r="J478" s="429"/>
      <c r="K478" s="429"/>
      <c r="L478" s="383"/>
      <c r="M478" s="383" t="s">
        <v>881</v>
      </c>
      <c r="N478" s="383" t="s">
        <v>323</v>
      </c>
      <c r="O478" s="383" t="s">
        <v>882</v>
      </c>
      <c r="P478" s="383" t="s">
        <v>970</v>
      </c>
      <c r="Q478" s="383"/>
      <c r="R478" s="431">
        <v>49000</v>
      </c>
      <c r="S478" s="158">
        <v>0</v>
      </c>
      <c r="T478" s="158">
        <v>0</v>
      </c>
      <c r="U478" s="158">
        <v>0</v>
      </c>
      <c r="V478" s="158">
        <v>0</v>
      </c>
      <c r="W478" s="158">
        <v>0</v>
      </c>
      <c r="X478" s="158">
        <v>0</v>
      </c>
      <c r="Y478" s="158">
        <v>0</v>
      </c>
      <c r="Z478" s="158">
        <v>0</v>
      </c>
      <c r="AA478" s="432">
        <v>0</v>
      </c>
      <c r="AB478" s="432">
        <v>0</v>
      </c>
      <c r="AC478" s="432">
        <v>0</v>
      </c>
      <c r="AD478" s="432">
        <v>0</v>
      </c>
      <c r="AE478" s="432">
        <v>0</v>
      </c>
      <c r="AF478" s="432">
        <v>0</v>
      </c>
      <c r="AG478" s="432">
        <v>0</v>
      </c>
      <c r="AH478" s="432">
        <v>0</v>
      </c>
      <c r="AI478" s="158">
        <v>49720</v>
      </c>
      <c r="AJ478" s="158">
        <v>0</v>
      </c>
      <c r="AK478" s="158">
        <v>49720</v>
      </c>
      <c r="AL478" s="158">
        <v>49720</v>
      </c>
      <c r="AM478" s="158">
        <v>2700000</v>
      </c>
      <c r="AN478" s="158">
        <v>49720</v>
      </c>
      <c r="AO478" s="158">
        <v>49720</v>
      </c>
      <c r="AP478" s="158">
        <v>49000</v>
      </c>
      <c r="AQ478" s="432">
        <v>0</v>
      </c>
      <c r="AR478" s="432">
        <v>0</v>
      </c>
      <c r="AS478" s="432">
        <v>0</v>
      </c>
      <c r="AT478" s="432">
        <v>0</v>
      </c>
      <c r="AU478" s="432">
        <v>0</v>
      </c>
      <c r="AV478" s="432">
        <v>0</v>
      </c>
      <c r="AW478" s="432">
        <v>0</v>
      </c>
      <c r="AX478" s="432">
        <v>0</v>
      </c>
      <c r="AY478" s="158">
        <v>0</v>
      </c>
      <c r="AZ478" s="158">
        <v>0</v>
      </c>
      <c r="BA478" s="158">
        <v>0</v>
      </c>
      <c r="BB478" s="158">
        <v>0</v>
      </c>
      <c r="BC478" s="158">
        <v>0</v>
      </c>
      <c r="BD478" s="158">
        <v>0</v>
      </c>
      <c r="BE478" s="158">
        <v>0</v>
      </c>
      <c r="BF478" s="160">
        <v>0</v>
      </c>
      <c r="BG478" s="383">
        <v>2023</v>
      </c>
      <c r="BH478" s="383">
        <v>1</v>
      </c>
      <c r="BI478" s="383">
        <v>19</v>
      </c>
      <c r="BK478" s="147" t="str">
        <f>IF(R478=SUM(Z478,AH478,AP478,AX478,BF478),"○","×")</f>
        <v>○</v>
      </c>
    </row>
    <row r="479" spans="1:63" x14ac:dyDescent="0.2">
      <c r="A479" s="428">
        <v>1684</v>
      </c>
      <c r="B479" s="429"/>
      <c r="C479" s="430"/>
      <c r="D479" s="429"/>
      <c r="E479" s="430"/>
      <c r="F479" s="429"/>
      <c r="G479" s="429"/>
      <c r="H479" s="430"/>
      <c r="I479" s="429"/>
      <c r="J479" s="429"/>
      <c r="K479" s="429"/>
      <c r="L479" s="383"/>
      <c r="M479" s="383" t="s">
        <v>661</v>
      </c>
      <c r="N479" s="383" t="s">
        <v>340</v>
      </c>
      <c r="O479" s="383" t="s">
        <v>662</v>
      </c>
      <c r="P479" s="383" t="s">
        <v>970</v>
      </c>
      <c r="Q479" s="383"/>
      <c r="R479" s="431">
        <v>1071000</v>
      </c>
      <c r="S479" s="158">
        <v>0</v>
      </c>
      <c r="T479" s="158">
        <v>0</v>
      </c>
      <c r="U479" s="158">
        <v>0</v>
      </c>
      <c r="V479" s="158">
        <v>0</v>
      </c>
      <c r="W479" s="158">
        <v>0</v>
      </c>
      <c r="X479" s="158">
        <v>0</v>
      </c>
      <c r="Y479" s="158">
        <v>0</v>
      </c>
      <c r="Z479" s="158">
        <v>0</v>
      </c>
      <c r="AA479" s="432">
        <v>0</v>
      </c>
      <c r="AB479" s="432">
        <v>0</v>
      </c>
      <c r="AC479" s="432">
        <v>0</v>
      </c>
      <c r="AD479" s="432">
        <v>0</v>
      </c>
      <c r="AE479" s="432">
        <v>0</v>
      </c>
      <c r="AF479" s="432">
        <v>0</v>
      </c>
      <c r="AG479" s="432">
        <v>0</v>
      </c>
      <c r="AH479" s="432">
        <v>0</v>
      </c>
      <c r="AI479" s="158">
        <v>1071323</v>
      </c>
      <c r="AJ479" s="158">
        <v>0</v>
      </c>
      <c r="AK479" s="158">
        <v>1071323</v>
      </c>
      <c r="AL479" s="158">
        <v>1071323</v>
      </c>
      <c r="AM479" s="158">
        <v>2613600</v>
      </c>
      <c r="AN479" s="158">
        <v>1071323</v>
      </c>
      <c r="AO479" s="158">
        <v>1071323</v>
      </c>
      <c r="AP479" s="158">
        <v>1071000</v>
      </c>
      <c r="AQ479" s="432">
        <v>0</v>
      </c>
      <c r="AR479" s="432">
        <v>0</v>
      </c>
      <c r="AS479" s="432">
        <v>0</v>
      </c>
      <c r="AT479" s="432">
        <v>0</v>
      </c>
      <c r="AU479" s="432">
        <v>0</v>
      </c>
      <c r="AV479" s="432">
        <v>0</v>
      </c>
      <c r="AW479" s="432">
        <v>0</v>
      </c>
      <c r="AX479" s="432">
        <v>0</v>
      </c>
      <c r="AY479" s="158">
        <v>0</v>
      </c>
      <c r="AZ479" s="158">
        <v>0</v>
      </c>
      <c r="BA479" s="158">
        <v>0</v>
      </c>
      <c r="BB479" s="158">
        <v>0</v>
      </c>
      <c r="BC479" s="158">
        <v>0</v>
      </c>
      <c r="BD479" s="158">
        <v>0</v>
      </c>
      <c r="BE479" s="158">
        <v>0</v>
      </c>
      <c r="BF479" s="160">
        <v>0</v>
      </c>
      <c r="BG479" s="383">
        <v>2023</v>
      </c>
      <c r="BH479" s="383">
        <v>1</v>
      </c>
      <c r="BI479" s="383">
        <v>19</v>
      </c>
      <c r="BK479" s="147" t="str">
        <f>IF(R479=SUM(Z479,AH479,AP479,AX479,BF479),"○","×")</f>
        <v>○</v>
      </c>
    </row>
    <row r="480" spans="1:63" x14ac:dyDescent="0.2">
      <c r="A480" s="428">
        <v>1685</v>
      </c>
      <c r="B480" s="429"/>
      <c r="C480" s="430"/>
      <c r="D480" s="429"/>
      <c r="E480" s="430"/>
      <c r="F480" s="429"/>
      <c r="G480" s="429"/>
      <c r="H480" s="430"/>
      <c r="I480" s="429"/>
      <c r="J480" s="429"/>
      <c r="K480" s="429"/>
      <c r="L480" s="383"/>
      <c r="M480" s="383" t="s">
        <v>883</v>
      </c>
      <c r="N480" s="383" t="s">
        <v>483</v>
      </c>
      <c r="O480" s="383" t="s">
        <v>884</v>
      </c>
      <c r="P480" s="383" t="s">
        <v>970</v>
      </c>
      <c r="Q480" s="383"/>
      <c r="R480" s="431">
        <v>1552000</v>
      </c>
      <c r="S480" s="158">
        <v>0</v>
      </c>
      <c r="T480" s="158">
        <v>0</v>
      </c>
      <c r="U480" s="158">
        <v>0</v>
      </c>
      <c r="V480" s="158">
        <v>0</v>
      </c>
      <c r="W480" s="158">
        <v>0</v>
      </c>
      <c r="X480" s="158">
        <v>0</v>
      </c>
      <c r="Y480" s="158">
        <v>0</v>
      </c>
      <c r="Z480" s="158">
        <v>0</v>
      </c>
      <c r="AA480" s="432">
        <v>0</v>
      </c>
      <c r="AB480" s="432">
        <v>0</v>
      </c>
      <c r="AC480" s="432">
        <v>0</v>
      </c>
      <c r="AD480" s="432">
        <v>0</v>
      </c>
      <c r="AE480" s="432">
        <v>0</v>
      </c>
      <c r="AF480" s="432">
        <v>0</v>
      </c>
      <c r="AG480" s="432">
        <v>0</v>
      </c>
      <c r="AH480" s="432">
        <v>0</v>
      </c>
      <c r="AI480" s="158">
        <v>1552540</v>
      </c>
      <c r="AJ480" s="158">
        <v>0</v>
      </c>
      <c r="AK480" s="158">
        <v>1552540</v>
      </c>
      <c r="AL480" s="158">
        <v>1552540</v>
      </c>
      <c r="AM480" s="158">
        <v>3456000</v>
      </c>
      <c r="AN480" s="158">
        <v>1552540</v>
      </c>
      <c r="AO480" s="158">
        <v>1552540</v>
      </c>
      <c r="AP480" s="158">
        <v>1552000</v>
      </c>
      <c r="AQ480" s="432">
        <v>0</v>
      </c>
      <c r="AR480" s="432">
        <v>0</v>
      </c>
      <c r="AS480" s="432">
        <v>0</v>
      </c>
      <c r="AT480" s="432">
        <v>0</v>
      </c>
      <c r="AU480" s="432">
        <v>0</v>
      </c>
      <c r="AV480" s="432">
        <v>0</v>
      </c>
      <c r="AW480" s="432">
        <v>0</v>
      </c>
      <c r="AX480" s="432">
        <v>0</v>
      </c>
      <c r="AY480" s="158">
        <v>0</v>
      </c>
      <c r="AZ480" s="158">
        <v>0</v>
      </c>
      <c r="BA480" s="158">
        <v>0</v>
      </c>
      <c r="BB480" s="158">
        <v>0</v>
      </c>
      <c r="BC480" s="158">
        <v>0</v>
      </c>
      <c r="BD480" s="158">
        <v>0</v>
      </c>
      <c r="BE480" s="158">
        <v>0</v>
      </c>
      <c r="BF480" s="160">
        <v>0</v>
      </c>
      <c r="BG480" s="383">
        <v>2023</v>
      </c>
      <c r="BH480" s="383">
        <v>1</v>
      </c>
      <c r="BI480" s="383">
        <v>19</v>
      </c>
      <c r="BK480" s="147" t="str">
        <f>IF(R480=SUM(Z480,AH480,AP480,AX480,BF480),"○","×")</f>
        <v>○</v>
      </c>
    </row>
    <row r="481" spans="1:63" x14ac:dyDescent="0.2">
      <c r="A481" s="428">
        <v>1686</v>
      </c>
      <c r="B481" s="429"/>
      <c r="C481" s="430"/>
      <c r="D481" s="429"/>
      <c r="E481" s="430"/>
      <c r="F481" s="429"/>
      <c r="G481" s="429"/>
      <c r="H481" s="430"/>
      <c r="I481" s="429"/>
      <c r="J481" s="429"/>
      <c r="K481" s="429"/>
      <c r="L481" s="383"/>
      <c r="M481" s="383" t="s">
        <v>390</v>
      </c>
      <c r="N481" s="383" t="s">
        <v>360</v>
      </c>
      <c r="O481" s="383" t="s">
        <v>391</v>
      </c>
      <c r="P481" s="383" t="s">
        <v>970</v>
      </c>
      <c r="Q481" s="383"/>
      <c r="R481" s="431">
        <v>113000</v>
      </c>
      <c r="S481" s="158">
        <v>0</v>
      </c>
      <c r="T481" s="158">
        <v>0</v>
      </c>
      <c r="U481" s="158">
        <v>0</v>
      </c>
      <c r="V481" s="158">
        <v>0</v>
      </c>
      <c r="W481" s="158">
        <v>0</v>
      </c>
      <c r="X481" s="158">
        <v>0</v>
      </c>
      <c r="Y481" s="158">
        <v>0</v>
      </c>
      <c r="Z481" s="158">
        <v>0</v>
      </c>
      <c r="AA481" s="432">
        <v>0</v>
      </c>
      <c r="AB481" s="432">
        <v>0</v>
      </c>
      <c r="AC481" s="432">
        <v>0</v>
      </c>
      <c r="AD481" s="432">
        <v>0</v>
      </c>
      <c r="AE481" s="432">
        <v>0</v>
      </c>
      <c r="AF481" s="432">
        <v>0</v>
      </c>
      <c r="AG481" s="432">
        <v>0</v>
      </c>
      <c r="AH481" s="432">
        <v>0</v>
      </c>
      <c r="AI481" s="158">
        <v>113140</v>
      </c>
      <c r="AJ481" s="158">
        <v>0</v>
      </c>
      <c r="AK481" s="158">
        <v>113140</v>
      </c>
      <c r="AL481" s="158">
        <v>113140</v>
      </c>
      <c r="AM481" s="158">
        <v>1317600</v>
      </c>
      <c r="AN481" s="158">
        <v>113140</v>
      </c>
      <c r="AO481" s="158">
        <v>113140</v>
      </c>
      <c r="AP481" s="158">
        <v>113000</v>
      </c>
      <c r="AQ481" s="432">
        <v>0</v>
      </c>
      <c r="AR481" s="432">
        <v>0</v>
      </c>
      <c r="AS481" s="432">
        <v>0</v>
      </c>
      <c r="AT481" s="432">
        <v>0</v>
      </c>
      <c r="AU481" s="432">
        <v>0</v>
      </c>
      <c r="AV481" s="432">
        <v>0</v>
      </c>
      <c r="AW481" s="432">
        <v>0</v>
      </c>
      <c r="AX481" s="432">
        <v>0</v>
      </c>
      <c r="AY481" s="158">
        <v>0</v>
      </c>
      <c r="AZ481" s="158">
        <v>0</v>
      </c>
      <c r="BA481" s="158">
        <v>0</v>
      </c>
      <c r="BB481" s="158">
        <v>0</v>
      </c>
      <c r="BC481" s="158">
        <v>0</v>
      </c>
      <c r="BD481" s="158">
        <v>0</v>
      </c>
      <c r="BE481" s="158">
        <v>0</v>
      </c>
      <c r="BF481" s="160">
        <v>0</v>
      </c>
      <c r="BG481" s="383">
        <v>2023</v>
      </c>
      <c r="BH481" s="383">
        <v>1</v>
      </c>
      <c r="BI481" s="383">
        <v>19</v>
      </c>
      <c r="BK481" s="147" t="str">
        <f>IF(R481=SUM(Z481,AH481,AP481,AX481,BF481),"○","×")</f>
        <v>○</v>
      </c>
    </row>
    <row r="482" spans="1:63" x14ac:dyDescent="0.2">
      <c r="A482" s="428">
        <v>1687</v>
      </c>
      <c r="B482" s="429"/>
      <c r="C482" s="430"/>
      <c r="D482" s="429"/>
      <c r="E482" s="430"/>
      <c r="F482" s="429"/>
      <c r="G482" s="429"/>
      <c r="H482" s="430"/>
      <c r="I482" s="429"/>
      <c r="J482" s="429"/>
      <c r="K482" s="429"/>
      <c r="L482" s="383"/>
      <c r="M482" s="383" t="s">
        <v>664</v>
      </c>
      <c r="N482" s="383" t="s">
        <v>323</v>
      </c>
      <c r="O482" s="383" t="s">
        <v>530</v>
      </c>
      <c r="P482" s="383" t="s">
        <v>970</v>
      </c>
      <c r="Q482" s="383"/>
      <c r="R482" s="431">
        <v>393000</v>
      </c>
      <c r="S482" s="158">
        <v>0</v>
      </c>
      <c r="T482" s="158">
        <v>0</v>
      </c>
      <c r="U482" s="158">
        <v>0</v>
      </c>
      <c r="V482" s="158">
        <v>0</v>
      </c>
      <c r="W482" s="158">
        <v>0</v>
      </c>
      <c r="X482" s="158">
        <v>0</v>
      </c>
      <c r="Y482" s="158">
        <v>0</v>
      </c>
      <c r="Z482" s="158">
        <v>0</v>
      </c>
      <c r="AA482" s="432">
        <v>0</v>
      </c>
      <c r="AB482" s="432">
        <v>0</v>
      </c>
      <c r="AC482" s="432">
        <v>0</v>
      </c>
      <c r="AD482" s="432">
        <v>0</v>
      </c>
      <c r="AE482" s="432">
        <v>0</v>
      </c>
      <c r="AF482" s="432">
        <v>0</v>
      </c>
      <c r="AG482" s="432">
        <v>0</v>
      </c>
      <c r="AH482" s="432">
        <v>0</v>
      </c>
      <c r="AI482" s="158">
        <v>393200</v>
      </c>
      <c r="AJ482" s="158">
        <v>0</v>
      </c>
      <c r="AK482" s="158">
        <v>393200</v>
      </c>
      <c r="AL482" s="158">
        <v>393200</v>
      </c>
      <c r="AM482" s="158">
        <v>3088800</v>
      </c>
      <c r="AN482" s="158">
        <v>393200</v>
      </c>
      <c r="AO482" s="158">
        <v>393200</v>
      </c>
      <c r="AP482" s="158">
        <v>393000</v>
      </c>
      <c r="AQ482" s="432">
        <v>0</v>
      </c>
      <c r="AR482" s="432">
        <v>0</v>
      </c>
      <c r="AS482" s="432">
        <v>0</v>
      </c>
      <c r="AT482" s="432">
        <v>0</v>
      </c>
      <c r="AU482" s="432">
        <v>0</v>
      </c>
      <c r="AV482" s="432">
        <v>0</v>
      </c>
      <c r="AW482" s="432">
        <v>0</v>
      </c>
      <c r="AX482" s="432">
        <v>0</v>
      </c>
      <c r="AY482" s="158">
        <v>0</v>
      </c>
      <c r="AZ482" s="158">
        <v>0</v>
      </c>
      <c r="BA482" s="158">
        <v>0</v>
      </c>
      <c r="BB482" s="158">
        <v>0</v>
      </c>
      <c r="BC482" s="158">
        <v>0</v>
      </c>
      <c r="BD482" s="158">
        <v>0</v>
      </c>
      <c r="BE482" s="158">
        <v>0</v>
      </c>
      <c r="BF482" s="160">
        <v>0</v>
      </c>
      <c r="BG482" s="383">
        <v>2023</v>
      </c>
      <c r="BH482" s="383">
        <v>1</v>
      </c>
      <c r="BI482" s="383">
        <v>19</v>
      </c>
      <c r="BK482" s="147" t="str">
        <f>IF(R482=SUM(Z482,AH482,AP482,AX482,BF482),"○","×")</f>
        <v>○</v>
      </c>
    </row>
    <row r="483" spans="1:63" x14ac:dyDescent="0.2">
      <c r="A483" s="428">
        <v>1688</v>
      </c>
      <c r="B483" s="429"/>
      <c r="C483" s="430"/>
      <c r="D483" s="429"/>
      <c r="E483" s="430"/>
      <c r="F483" s="429"/>
      <c r="G483" s="429"/>
      <c r="H483" s="430"/>
      <c r="I483" s="429"/>
      <c r="J483" s="429"/>
      <c r="K483" s="429"/>
      <c r="L483" s="383"/>
      <c r="M483" s="383" t="s">
        <v>723</v>
      </c>
      <c r="N483" s="383" t="s">
        <v>323</v>
      </c>
      <c r="O483" s="383" t="s">
        <v>563</v>
      </c>
      <c r="P483" s="383" t="s">
        <v>970</v>
      </c>
      <c r="Q483" s="383"/>
      <c r="R483" s="431">
        <v>450000</v>
      </c>
      <c r="S483" s="158">
        <v>0</v>
      </c>
      <c r="T483" s="158">
        <v>0</v>
      </c>
      <c r="U483" s="158">
        <v>0</v>
      </c>
      <c r="V483" s="158">
        <v>0</v>
      </c>
      <c r="W483" s="158">
        <v>0</v>
      </c>
      <c r="X483" s="158">
        <v>0</v>
      </c>
      <c r="Y483" s="158">
        <v>0</v>
      </c>
      <c r="Z483" s="158">
        <v>0</v>
      </c>
      <c r="AA483" s="432">
        <v>0</v>
      </c>
      <c r="AB483" s="432">
        <v>0</v>
      </c>
      <c r="AC483" s="432">
        <v>0</v>
      </c>
      <c r="AD483" s="432">
        <v>0</v>
      </c>
      <c r="AE483" s="432">
        <v>0</v>
      </c>
      <c r="AF483" s="432">
        <v>0</v>
      </c>
      <c r="AG483" s="432">
        <v>0</v>
      </c>
      <c r="AH483" s="432">
        <v>0</v>
      </c>
      <c r="AI483" s="158">
        <v>450717</v>
      </c>
      <c r="AJ483" s="158">
        <v>0</v>
      </c>
      <c r="AK483" s="158">
        <v>450717</v>
      </c>
      <c r="AL483" s="158">
        <v>450717</v>
      </c>
      <c r="AM483" s="158">
        <v>1317600</v>
      </c>
      <c r="AN483" s="158">
        <v>450717</v>
      </c>
      <c r="AO483" s="158">
        <v>450717</v>
      </c>
      <c r="AP483" s="158">
        <v>450000</v>
      </c>
      <c r="AQ483" s="432">
        <v>0</v>
      </c>
      <c r="AR483" s="432">
        <v>0</v>
      </c>
      <c r="AS483" s="432">
        <v>0</v>
      </c>
      <c r="AT483" s="432">
        <v>0</v>
      </c>
      <c r="AU483" s="432">
        <v>0</v>
      </c>
      <c r="AV483" s="432">
        <v>0</v>
      </c>
      <c r="AW483" s="432">
        <v>0</v>
      </c>
      <c r="AX483" s="432">
        <v>0</v>
      </c>
      <c r="AY483" s="158">
        <v>0</v>
      </c>
      <c r="AZ483" s="158">
        <v>0</v>
      </c>
      <c r="BA483" s="158">
        <v>0</v>
      </c>
      <c r="BB483" s="158">
        <v>0</v>
      </c>
      <c r="BC483" s="158">
        <v>0</v>
      </c>
      <c r="BD483" s="158">
        <v>0</v>
      </c>
      <c r="BE483" s="158">
        <v>0</v>
      </c>
      <c r="BF483" s="160">
        <v>0</v>
      </c>
      <c r="BG483" s="383">
        <v>2023</v>
      </c>
      <c r="BH483" s="383">
        <v>1</v>
      </c>
      <c r="BI483" s="383">
        <v>19</v>
      </c>
      <c r="BK483" s="147" t="str">
        <f>IF(R483=SUM(Z483,AH483,AP483,AX483,BF483),"○","×")</f>
        <v>○</v>
      </c>
    </row>
    <row r="484" spans="1:63" x14ac:dyDescent="0.2">
      <c r="A484" s="428">
        <v>1689</v>
      </c>
      <c r="B484" s="429"/>
      <c r="C484" s="430"/>
      <c r="D484" s="429"/>
      <c r="E484" s="430"/>
      <c r="F484" s="429"/>
      <c r="G484" s="429"/>
      <c r="H484" s="430"/>
      <c r="I484" s="429"/>
      <c r="J484" s="429"/>
      <c r="K484" s="429"/>
      <c r="L484" s="383"/>
      <c r="M484" s="383" t="s">
        <v>885</v>
      </c>
      <c r="N484" s="383" t="s">
        <v>329</v>
      </c>
      <c r="O484" s="383" t="s">
        <v>625</v>
      </c>
      <c r="P484" s="383" t="s">
        <v>970</v>
      </c>
      <c r="Q484" s="383"/>
      <c r="R484" s="431">
        <v>96000</v>
      </c>
      <c r="S484" s="158">
        <v>0</v>
      </c>
      <c r="T484" s="158">
        <v>0</v>
      </c>
      <c r="U484" s="158">
        <v>0</v>
      </c>
      <c r="V484" s="158">
        <v>0</v>
      </c>
      <c r="W484" s="158">
        <v>0</v>
      </c>
      <c r="X484" s="158">
        <v>0</v>
      </c>
      <c r="Y484" s="158">
        <v>0</v>
      </c>
      <c r="Z484" s="158">
        <v>0</v>
      </c>
      <c r="AA484" s="432">
        <v>0</v>
      </c>
      <c r="AB484" s="432">
        <v>0</v>
      </c>
      <c r="AC484" s="432">
        <v>0</v>
      </c>
      <c r="AD484" s="432">
        <v>0</v>
      </c>
      <c r="AE484" s="432">
        <v>0</v>
      </c>
      <c r="AF484" s="432">
        <v>0</v>
      </c>
      <c r="AG484" s="432">
        <v>0</v>
      </c>
      <c r="AH484" s="432">
        <v>0</v>
      </c>
      <c r="AI484" s="158">
        <v>96125</v>
      </c>
      <c r="AJ484" s="158">
        <v>0</v>
      </c>
      <c r="AK484" s="158">
        <v>96125</v>
      </c>
      <c r="AL484" s="158">
        <v>96125</v>
      </c>
      <c r="AM484" s="158">
        <v>3603600</v>
      </c>
      <c r="AN484" s="158">
        <v>96125</v>
      </c>
      <c r="AO484" s="158">
        <v>96125</v>
      </c>
      <c r="AP484" s="158">
        <v>96000</v>
      </c>
      <c r="AQ484" s="432">
        <v>0</v>
      </c>
      <c r="AR484" s="432">
        <v>0</v>
      </c>
      <c r="AS484" s="432">
        <v>0</v>
      </c>
      <c r="AT484" s="432">
        <v>0</v>
      </c>
      <c r="AU484" s="432">
        <v>0</v>
      </c>
      <c r="AV484" s="432">
        <v>0</v>
      </c>
      <c r="AW484" s="432">
        <v>0</v>
      </c>
      <c r="AX484" s="432">
        <v>0</v>
      </c>
      <c r="AY484" s="158">
        <v>0</v>
      </c>
      <c r="AZ484" s="158">
        <v>0</v>
      </c>
      <c r="BA484" s="158">
        <v>0</v>
      </c>
      <c r="BB484" s="158">
        <v>0</v>
      </c>
      <c r="BC484" s="158">
        <v>0</v>
      </c>
      <c r="BD484" s="158">
        <v>0</v>
      </c>
      <c r="BE484" s="158">
        <v>0</v>
      </c>
      <c r="BF484" s="160">
        <v>0</v>
      </c>
      <c r="BG484" s="383">
        <v>2023</v>
      </c>
      <c r="BH484" s="383">
        <v>1</v>
      </c>
      <c r="BI484" s="383">
        <v>19</v>
      </c>
      <c r="BK484" s="147" t="str">
        <f>IF(R484=SUM(Z484,AH484,AP484,AX484,BF484),"○","×")</f>
        <v>○</v>
      </c>
    </row>
    <row r="485" spans="1:63" x14ac:dyDescent="0.2">
      <c r="A485" s="428">
        <v>1690</v>
      </c>
      <c r="B485" s="429"/>
      <c r="C485" s="430"/>
      <c r="D485" s="429"/>
      <c r="E485" s="430"/>
      <c r="F485" s="429"/>
      <c r="G485" s="429"/>
      <c r="H485" s="430"/>
      <c r="I485" s="429"/>
      <c r="J485" s="429"/>
      <c r="K485" s="429"/>
      <c r="L485" s="383"/>
      <c r="M485" s="383" t="s">
        <v>787</v>
      </c>
      <c r="N485" s="383" t="s">
        <v>427</v>
      </c>
      <c r="O485" s="383" t="s">
        <v>406</v>
      </c>
      <c r="P485" s="383" t="s">
        <v>970</v>
      </c>
      <c r="Q485" s="383"/>
      <c r="R485" s="431">
        <v>292000</v>
      </c>
      <c r="S485" s="158">
        <v>0</v>
      </c>
      <c r="T485" s="158">
        <v>0</v>
      </c>
      <c r="U485" s="158">
        <v>0</v>
      </c>
      <c r="V485" s="158">
        <v>0</v>
      </c>
      <c r="W485" s="158">
        <v>0</v>
      </c>
      <c r="X485" s="158">
        <v>0</v>
      </c>
      <c r="Y485" s="158">
        <v>0</v>
      </c>
      <c r="Z485" s="158">
        <v>0</v>
      </c>
      <c r="AA485" s="432">
        <v>0</v>
      </c>
      <c r="AB485" s="432">
        <v>0</v>
      </c>
      <c r="AC485" s="432">
        <v>0</v>
      </c>
      <c r="AD485" s="432">
        <v>0</v>
      </c>
      <c r="AE485" s="432">
        <v>0</v>
      </c>
      <c r="AF485" s="432">
        <v>0</v>
      </c>
      <c r="AG485" s="432">
        <v>0</v>
      </c>
      <c r="AH485" s="432">
        <v>0</v>
      </c>
      <c r="AI485" s="158">
        <v>292050</v>
      </c>
      <c r="AJ485" s="158">
        <v>0</v>
      </c>
      <c r="AK485" s="158">
        <v>292050</v>
      </c>
      <c r="AL485" s="158">
        <v>292050</v>
      </c>
      <c r="AM485" s="158">
        <v>1728000</v>
      </c>
      <c r="AN485" s="158">
        <v>292050</v>
      </c>
      <c r="AO485" s="158">
        <v>292050</v>
      </c>
      <c r="AP485" s="158">
        <v>292000</v>
      </c>
      <c r="AQ485" s="432">
        <v>0</v>
      </c>
      <c r="AR485" s="432">
        <v>0</v>
      </c>
      <c r="AS485" s="432">
        <v>0</v>
      </c>
      <c r="AT485" s="432">
        <v>0</v>
      </c>
      <c r="AU485" s="432">
        <v>0</v>
      </c>
      <c r="AV485" s="432">
        <v>0</v>
      </c>
      <c r="AW485" s="432">
        <v>0</v>
      </c>
      <c r="AX485" s="432">
        <v>0</v>
      </c>
      <c r="AY485" s="158">
        <v>0</v>
      </c>
      <c r="AZ485" s="158">
        <v>0</v>
      </c>
      <c r="BA485" s="158">
        <v>0</v>
      </c>
      <c r="BB485" s="158">
        <v>0</v>
      </c>
      <c r="BC485" s="158">
        <v>0</v>
      </c>
      <c r="BD485" s="158">
        <v>0</v>
      </c>
      <c r="BE485" s="158">
        <v>0</v>
      </c>
      <c r="BF485" s="160">
        <v>0</v>
      </c>
      <c r="BG485" s="383">
        <v>2023</v>
      </c>
      <c r="BH485" s="383">
        <v>1</v>
      </c>
      <c r="BI485" s="383">
        <v>19</v>
      </c>
      <c r="BK485" s="147" t="str">
        <f>IF(R485=SUM(Z485,AH485,AP485,AX485,BF485),"○","×")</f>
        <v>○</v>
      </c>
    </row>
    <row r="486" spans="1:63" x14ac:dyDescent="0.2">
      <c r="A486" s="428">
        <v>1691</v>
      </c>
      <c r="B486" s="429"/>
      <c r="C486" s="430"/>
      <c r="D486" s="429"/>
      <c r="E486" s="430"/>
      <c r="F486" s="429"/>
      <c r="G486" s="429"/>
      <c r="H486" s="430"/>
      <c r="I486" s="429"/>
      <c r="J486" s="429"/>
      <c r="K486" s="429"/>
      <c r="L486" s="383"/>
      <c r="M486" s="383" t="s">
        <v>616</v>
      </c>
      <c r="N486" s="383" t="s">
        <v>323</v>
      </c>
      <c r="O486" s="383" t="s">
        <v>617</v>
      </c>
      <c r="P486" s="383" t="s">
        <v>970</v>
      </c>
      <c r="Q486" s="383"/>
      <c r="R486" s="431">
        <v>1134000</v>
      </c>
      <c r="S486" s="158">
        <v>0</v>
      </c>
      <c r="T486" s="158">
        <v>0</v>
      </c>
      <c r="U486" s="158">
        <v>0</v>
      </c>
      <c r="V486" s="158">
        <v>0</v>
      </c>
      <c r="W486" s="158">
        <v>0</v>
      </c>
      <c r="X486" s="158">
        <v>0</v>
      </c>
      <c r="Y486" s="158">
        <v>0</v>
      </c>
      <c r="Z486" s="158">
        <v>0</v>
      </c>
      <c r="AA486" s="432">
        <v>0</v>
      </c>
      <c r="AB486" s="432">
        <v>0</v>
      </c>
      <c r="AC486" s="432">
        <v>0</v>
      </c>
      <c r="AD486" s="432">
        <v>0</v>
      </c>
      <c r="AE486" s="432">
        <v>0</v>
      </c>
      <c r="AF486" s="432">
        <v>0</v>
      </c>
      <c r="AG486" s="432">
        <v>0</v>
      </c>
      <c r="AH486" s="432">
        <v>0</v>
      </c>
      <c r="AI486" s="158">
        <v>1134650</v>
      </c>
      <c r="AJ486" s="158">
        <v>0</v>
      </c>
      <c r="AK486" s="158">
        <v>1134650</v>
      </c>
      <c r="AL486" s="158">
        <v>1134650</v>
      </c>
      <c r="AM486" s="158">
        <v>2088000</v>
      </c>
      <c r="AN486" s="158">
        <v>1134650</v>
      </c>
      <c r="AO486" s="158">
        <v>1134650</v>
      </c>
      <c r="AP486" s="158">
        <v>1134000</v>
      </c>
      <c r="AQ486" s="432">
        <v>0</v>
      </c>
      <c r="AR486" s="432">
        <v>0</v>
      </c>
      <c r="AS486" s="432">
        <v>0</v>
      </c>
      <c r="AT486" s="432">
        <v>0</v>
      </c>
      <c r="AU486" s="432">
        <v>0</v>
      </c>
      <c r="AV486" s="432">
        <v>0</v>
      </c>
      <c r="AW486" s="432">
        <v>0</v>
      </c>
      <c r="AX486" s="432">
        <v>0</v>
      </c>
      <c r="AY486" s="158">
        <v>0</v>
      </c>
      <c r="AZ486" s="158">
        <v>0</v>
      </c>
      <c r="BA486" s="158">
        <v>0</v>
      </c>
      <c r="BB486" s="158">
        <v>0</v>
      </c>
      <c r="BC486" s="158">
        <v>0</v>
      </c>
      <c r="BD486" s="158">
        <v>0</v>
      </c>
      <c r="BE486" s="158">
        <v>0</v>
      </c>
      <c r="BF486" s="160">
        <v>0</v>
      </c>
      <c r="BG486" s="383">
        <v>2023</v>
      </c>
      <c r="BH486" s="383">
        <v>1</v>
      </c>
      <c r="BI486" s="383">
        <v>19</v>
      </c>
      <c r="BK486" s="147" t="str">
        <f>IF(R486=SUM(Z486,AH486,AP486,AX486,BF486),"○","×")</f>
        <v>○</v>
      </c>
    </row>
    <row r="487" spans="1:63" x14ac:dyDescent="0.2">
      <c r="A487" s="428">
        <v>1692</v>
      </c>
      <c r="B487" s="429"/>
      <c r="C487" s="430"/>
      <c r="D487" s="429"/>
      <c r="E487" s="430"/>
      <c r="F487" s="429"/>
      <c r="G487" s="429"/>
      <c r="H487" s="430"/>
      <c r="I487" s="429"/>
      <c r="J487" s="429"/>
      <c r="K487" s="429"/>
      <c r="L487" s="383"/>
      <c r="M487" s="383" t="s">
        <v>555</v>
      </c>
      <c r="N487" s="383" t="s">
        <v>329</v>
      </c>
      <c r="O487" s="383" t="s">
        <v>418</v>
      </c>
      <c r="P487" s="383" t="s">
        <v>970</v>
      </c>
      <c r="Q487" s="383"/>
      <c r="R487" s="431">
        <v>39000</v>
      </c>
      <c r="S487" s="158">
        <v>0</v>
      </c>
      <c r="T487" s="158">
        <v>0</v>
      </c>
      <c r="U487" s="158">
        <v>0</v>
      </c>
      <c r="V487" s="158">
        <v>0</v>
      </c>
      <c r="W487" s="158">
        <v>0</v>
      </c>
      <c r="X487" s="158">
        <v>0</v>
      </c>
      <c r="Y487" s="158">
        <v>0</v>
      </c>
      <c r="Z487" s="158">
        <v>0</v>
      </c>
      <c r="AA487" s="432">
        <v>0</v>
      </c>
      <c r="AB487" s="432">
        <v>0</v>
      </c>
      <c r="AC487" s="432">
        <v>0</v>
      </c>
      <c r="AD487" s="432">
        <v>0</v>
      </c>
      <c r="AE487" s="432">
        <v>0</v>
      </c>
      <c r="AF487" s="432">
        <v>0</v>
      </c>
      <c r="AG487" s="432">
        <v>0</v>
      </c>
      <c r="AH487" s="432">
        <v>0</v>
      </c>
      <c r="AI487" s="158">
        <v>39633</v>
      </c>
      <c r="AJ487" s="158">
        <v>0</v>
      </c>
      <c r="AK487" s="158">
        <v>39633</v>
      </c>
      <c r="AL487" s="158">
        <v>39633</v>
      </c>
      <c r="AM487" s="158">
        <v>5702400</v>
      </c>
      <c r="AN487" s="158">
        <v>39633</v>
      </c>
      <c r="AO487" s="158">
        <v>39633</v>
      </c>
      <c r="AP487" s="158">
        <v>39000</v>
      </c>
      <c r="AQ487" s="432">
        <v>0</v>
      </c>
      <c r="AR487" s="432">
        <v>0</v>
      </c>
      <c r="AS487" s="432">
        <v>0</v>
      </c>
      <c r="AT487" s="432">
        <v>0</v>
      </c>
      <c r="AU487" s="432">
        <v>0</v>
      </c>
      <c r="AV487" s="432">
        <v>0</v>
      </c>
      <c r="AW487" s="432">
        <v>0</v>
      </c>
      <c r="AX487" s="432">
        <v>0</v>
      </c>
      <c r="AY487" s="158">
        <v>0</v>
      </c>
      <c r="AZ487" s="158">
        <v>0</v>
      </c>
      <c r="BA487" s="158">
        <v>0</v>
      </c>
      <c r="BB487" s="158">
        <v>0</v>
      </c>
      <c r="BC487" s="158">
        <v>0</v>
      </c>
      <c r="BD487" s="158">
        <v>0</v>
      </c>
      <c r="BE487" s="158">
        <v>0</v>
      </c>
      <c r="BF487" s="160">
        <v>0</v>
      </c>
      <c r="BG487" s="383">
        <v>2023</v>
      </c>
      <c r="BH487" s="383">
        <v>1</v>
      </c>
      <c r="BI487" s="383">
        <v>19</v>
      </c>
      <c r="BK487" s="147" t="str">
        <f>IF(R487=SUM(Z487,AH487,AP487,AX487,BF487),"○","×")</f>
        <v>○</v>
      </c>
    </row>
    <row r="488" spans="1:63" x14ac:dyDescent="0.2">
      <c r="A488" s="428">
        <v>1693</v>
      </c>
      <c r="B488" s="429"/>
      <c r="C488" s="430"/>
      <c r="D488" s="429"/>
      <c r="E488" s="430"/>
      <c r="F488" s="429"/>
      <c r="G488" s="429"/>
      <c r="H488" s="430"/>
      <c r="I488" s="429"/>
      <c r="J488" s="429"/>
      <c r="K488" s="429"/>
      <c r="L488" s="383"/>
      <c r="M488" s="383" t="s">
        <v>691</v>
      </c>
      <c r="N488" s="383" t="s">
        <v>323</v>
      </c>
      <c r="O488" s="383" t="s">
        <v>692</v>
      </c>
      <c r="P488" s="383" t="s">
        <v>970</v>
      </c>
      <c r="Q488" s="383"/>
      <c r="R488" s="431">
        <v>84000</v>
      </c>
      <c r="S488" s="158">
        <v>0</v>
      </c>
      <c r="T488" s="158">
        <v>0</v>
      </c>
      <c r="U488" s="158">
        <v>0</v>
      </c>
      <c r="V488" s="158">
        <v>0</v>
      </c>
      <c r="W488" s="158">
        <v>0</v>
      </c>
      <c r="X488" s="158">
        <v>0</v>
      </c>
      <c r="Y488" s="158">
        <v>0</v>
      </c>
      <c r="Z488" s="158">
        <v>0</v>
      </c>
      <c r="AA488" s="432">
        <v>0</v>
      </c>
      <c r="AB488" s="432">
        <v>0</v>
      </c>
      <c r="AC488" s="432">
        <v>0</v>
      </c>
      <c r="AD488" s="432">
        <v>0</v>
      </c>
      <c r="AE488" s="432">
        <v>0</v>
      </c>
      <c r="AF488" s="432">
        <v>0</v>
      </c>
      <c r="AG488" s="432">
        <v>0</v>
      </c>
      <c r="AH488" s="432">
        <v>0</v>
      </c>
      <c r="AI488" s="158">
        <v>84723</v>
      </c>
      <c r="AJ488" s="158">
        <v>0</v>
      </c>
      <c r="AK488" s="158">
        <v>84723</v>
      </c>
      <c r="AL488" s="158">
        <v>84723</v>
      </c>
      <c r="AM488" s="158">
        <v>3024000</v>
      </c>
      <c r="AN488" s="158">
        <v>84723</v>
      </c>
      <c r="AO488" s="158">
        <v>84723</v>
      </c>
      <c r="AP488" s="158">
        <v>84000</v>
      </c>
      <c r="AQ488" s="432">
        <v>0</v>
      </c>
      <c r="AR488" s="432">
        <v>0</v>
      </c>
      <c r="AS488" s="432">
        <v>0</v>
      </c>
      <c r="AT488" s="432">
        <v>0</v>
      </c>
      <c r="AU488" s="432">
        <v>0</v>
      </c>
      <c r="AV488" s="432">
        <v>0</v>
      </c>
      <c r="AW488" s="432">
        <v>0</v>
      </c>
      <c r="AX488" s="432">
        <v>0</v>
      </c>
      <c r="AY488" s="158">
        <v>0</v>
      </c>
      <c r="AZ488" s="158">
        <v>0</v>
      </c>
      <c r="BA488" s="158">
        <v>0</v>
      </c>
      <c r="BB488" s="158">
        <v>0</v>
      </c>
      <c r="BC488" s="158">
        <v>0</v>
      </c>
      <c r="BD488" s="158">
        <v>0</v>
      </c>
      <c r="BE488" s="158">
        <v>0</v>
      </c>
      <c r="BF488" s="160">
        <v>0</v>
      </c>
      <c r="BG488" s="383">
        <v>2023</v>
      </c>
      <c r="BH488" s="383">
        <v>1</v>
      </c>
      <c r="BI488" s="383">
        <v>19</v>
      </c>
      <c r="BK488" s="147" t="str">
        <f>IF(R488=SUM(Z488,AH488,AP488,AX488,BF488),"○","×")</f>
        <v>○</v>
      </c>
    </row>
    <row r="489" spans="1:63" x14ac:dyDescent="0.2">
      <c r="A489" s="428">
        <v>1694</v>
      </c>
      <c r="B489" s="429"/>
      <c r="C489" s="430"/>
      <c r="D489" s="429"/>
      <c r="E489" s="430"/>
      <c r="F489" s="429"/>
      <c r="G489" s="429"/>
      <c r="H489" s="430"/>
      <c r="I489" s="429"/>
      <c r="J489" s="429"/>
      <c r="K489" s="429"/>
      <c r="L489" s="383"/>
      <c r="M489" s="383" t="s">
        <v>779</v>
      </c>
      <c r="N489" s="383" t="s">
        <v>384</v>
      </c>
      <c r="O489" s="383" t="s">
        <v>391</v>
      </c>
      <c r="P489" s="383" t="s">
        <v>970</v>
      </c>
      <c r="Q489" s="383"/>
      <c r="R489" s="431">
        <v>121000</v>
      </c>
      <c r="S489" s="158">
        <v>0</v>
      </c>
      <c r="T489" s="158">
        <v>0</v>
      </c>
      <c r="U489" s="158">
        <v>0</v>
      </c>
      <c r="V489" s="158">
        <v>0</v>
      </c>
      <c r="W489" s="158">
        <v>0</v>
      </c>
      <c r="X489" s="158">
        <v>0</v>
      </c>
      <c r="Y489" s="158">
        <v>0</v>
      </c>
      <c r="Z489" s="158">
        <v>0</v>
      </c>
      <c r="AA489" s="432">
        <v>0</v>
      </c>
      <c r="AB489" s="432">
        <v>0</v>
      </c>
      <c r="AC489" s="432">
        <v>0</v>
      </c>
      <c r="AD489" s="432">
        <v>0</v>
      </c>
      <c r="AE489" s="432">
        <v>0</v>
      </c>
      <c r="AF489" s="432">
        <v>0</v>
      </c>
      <c r="AG489" s="432">
        <v>0</v>
      </c>
      <c r="AH489" s="432">
        <v>0</v>
      </c>
      <c r="AI489" s="158">
        <v>121880</v>
      </c>
      <c r="AJ489" s="158">
        <v>0</v>
      </c>
      <c r="AK489" s="158">
        <v>121880</v>
      </c>
      <c r="AL489" s="158">
        <v>121880</v>
      </c>
      <c r="AM489" s="158">
        <v>1080000</v>
      </c>
      <c r="AN489" s="158">
        <v>121880</v>
      </c>
      <c r="AO489" s="158">
        <v>121880</v>
      </c>
      <c r="AP489" s="158">
        <v>121000</v>
      </c>
      <c r="AQ489" s="432">
        <v>0</v>
      </c>
      <c r="AR489" s="432">
        <v>0</v>
      </c>
      <c r="AS489" s="432">
        <v>0</v>
      </c>
      <c r="AT489" s="432">
        <v>0</v>
      </c>
      <c r="AU489" s="432">
        <v>0</v>
      </c>
      <c r="AV489" s="432">
        <v>0</v>
      </c>
      <c r="AW489" s="432">
        <v>0</v>
      </c>
      <c r="AX489" s="432">
        <v>0</v>
      </c>
      <c r="AY489" s="158">
        <v>0</v>
      </c>
      <c r="AZ489" s="158">
        <v>0</v>
      </c>
      <c r="BA489" s="158">
        <v>0</v>
      </c>
      <c r="BB489" s="158">
        <v>0</v>
      </c>
      <c r="BC489" s="158">
        <v>0</v>
      </c>
      <c r="BD489" s="158">
        <v>0</v>
      </c>
      <c r="BE489" s="158">
        <v>0</v>
      </c>
      <c r="BF489" s="160">
        <v>0</v>
      </c>
      <c r="BG489" s="383">
        <v>2023</v>
      </c>
      <c r="BH489" s="383">
        <v>1</v>
      </c>
      <c r="BI489" s="383">
        <v>19</v>
      </c>
      <c r="BK489" s="147" t="str">
        <f>IF(R489=SUM(Z489,AH489,AP489,AX489,BF489),"○","×")</f>
        <v>○</v>
      </c>
    </row>
    <row r="490" spans="1:63" x14ac:dyDescent="0.2">
      <c r="A490" s="428">
        <v>1695</v>
      </c>
      <c r="B490" s="429"/>
      <c r="C490" s="430"/>
      <c r="D490" s="429"/>
      <c r="E490" s="430"/>
      <c r="F490" s="429"/>
      <c r="G490" s="429"/>
      <c r="H490" s="430"/>
      <c r="I490" s="429"/>
      <c r="J490" s="429"/>
      <c r="K490" s="429"/>
      <c r="L490" s="383"/>
      <c r="M490" s="383" t="s">
        <v>604</v>
      </c>
      <c r="N490" s="383" t="s">
        <v>427</v>
      </c>
      <c r="O490" s="383" t="s">
        <v>333</v>
      </c>
      <c r="P490" s="383" t="s">
        <v>970</v>
      </c>
      <c r="Q490" s="383"/>
      <c r="R490" s="431">
        <v>157000</v>
      </c>
      <c r="S490" s="158">
        <v>0</v>
      </c>
      <c r="T490" s="158">
        <v>0</v>
      </c>
      <c r="U490" s="158">
        <v>0</v>
      </c>
      <c r="V490" s="158">
        <v>0</v>
      </c>
      <c r="W490" s="158">
        <v>0</v>
      </c>
      <c r="X490" s="158">
        <v>0</v>
      </c>
      <c r="Y490" s="158">
        <v>0</v>
      </c>
      <c r="Z490" s="158">
        <v>0</v>
      </c>
      <c r="AA490" s="432">
        <v>0</v>
      </c>
      <c r="AB490" s="432">
        <v>0</v>
      </c>
      <c r="AC490" s="432">
        <v>0</v>
      </c>
      <c r="AD490" s="432">
        <v>0</v>
      </c>
      <c r="AE490" s="432">
        <v>0</v>
      </c>
      <c r="AF490" s="432">
        <v>0</v>
      </c>
      <c r="AG490" s="432">
        <v>0</v>
      </c>
      <c r="AH490" s="432">
        <v>0</v>
      </c>
      <c r="AI490" s="158">
        <v>157300</v>
      </c>
      <c r="AJ490" s="158">
        <v>0</v>
      </c>
      <c r="AK490" s="158">
        <v>157300</v>
      </c>
      <c r="AL490" s="158">
        <v>157300</v>
      </c>
      <c r="AM490" s="158">
        <v>1764000</v>
      </c>
      <c r="AN490" s="158">
        <v>157300</v>
      </c>
      <c r="AO490" s="158">
        <v>157300</v>
      </c>
      <c r="AP490" s="158">
        <v>157000</v>
      </c>
      <c r="AQ490" s="432">
        <v>0</v>
      </c>
      <c r="AR490" s="432">
        <v>0</v>
      </c>
      <c r="AS490" s="432">
        <v>0</v>
      </c>
      <c r="AT490" s="432">
        <v>0</v>
      </c>
      <c r="AU490" s="432">
        <v>0</v>
      </c>
      <c r="AV490" s="432">
        <v>0</v>
      </c>
      <c r="AW490" s="432">
        <v>0</v>
      </c>
      <c r="AX490" s="432">
        <v>0</v>
      </c>
      <c r="AY490" s="158">
        <v>0</v>
      </c>
      <c r="AZ490" s="158">
        <v>0</v>
      </c>
      <c r="BA490" s="158">
        <v>0</v>
      </c>
      <c r="BB490" s="158">
        <v>0</v>
      </c>
      <c r="BC490" s="158">
        <v>0</v>
      </c>
      <c r="BD490" s="158">
        <v>0</v>
      </c>
      <c r="BE490" s="158">
        <v>0</v>
      </c>
      <c r="BF490" s="160">
        <v>0</v>
      </c>
      <c r="BG490" s="383">
        <v>2023</v>
      </c>
      <c r="BH490" s="383">
        <v>1</v>
      </c>
      <c r="BI490" s="383">
        <v>19</v>
      </c>
      <c r="BK490" s="147" t="str">
        <f>IF(R490=SUM(Z490,AH490,AP490,AX490,BF490),"○","×")</f>
        <v>○</v>
      </c>
    </row>
    <row r="491" spans="1:63" x14ac:dyDescent="0.2">
      <c r="A491" s="428">
        <v>1696</v>
      </c>
      <c r="B491" s="429"/>
      <c r="C491" s="430"/>
      <c r="D491" s="429"/>
      <c r="E491" s="430"/>
      <c r="F491" s="429"/>
      <c r="G491" s="429"/>
      <c r="H491" s="430"/>
      <c r="I491" s="429"/>
      <c r="J491" s="429"/>
      <c r="K491" s="429"/>
      <c r="L491" s="383"/>
      <c r="M491" s="383" t="s">
        <v>552</v>
      </c>
      <c r="N491" s="383" t="s">
        <v>353</v>
      </c>
      <c r="O491" s="383" t="s">
        <v>346</v>
      </c>
      <c r="P491" s="383" t="s">
        <v>970</v>
      </c>
      <c r="Q491" s="383"/>
      <c r="R491" s="431">
        <v>100000</v>
      </c>
      <c r="S491" s="158">
        <v>0</v>
      </c>
      <c r="T491" s="158">
        <v>0</v>
      </c>
      <c r="U491" s="158">
        <v>0</v>
      </c>
      <c r="V491" s="158">
        <v>0</v>
      </c>
      <c r="W491" s="158">
        <v>0</v>
      </c>
      <c r="X491" s="158">
        <v>0</v>
      </c>
      <c r="Y491" s="158">
        <v>0</v>
      </c>
      <c r="Z491" s="158">
        <v>0</v>
      </c>
      <c r="AA491" s="432">
        <v>0</v>
      </c>
      <c r="AB491" s="432">
        <v>0</v>
      </c>
      <c r="AC491" s="432">
        <v>0</v>
      </c>
      <c r="AD491" s="432">
        <v>0</v>
      </c>
      <c r="AE491" s="432">
        <v>0</v>
      </c>
      <c r="AF491" s="432">
        <v>0</v>
      </c>
      <c r="AG491" s="432">
        <v>0</v>
      </c>
      <c r="AH491" s="432">
        <v>0</v>
      </c>
      <c r="AI491" s="158">
        <v>100100</v>
      </c>
      <c r="AJ491" s="158">
        <v>0</v>
      </c>
      <c r="AK491" s="158">
        <v>100100</v>
      </c>
      <c r="AL491" s="158">
        <v>100100</v>
      </c>
      <c r="AM491" s="158">
        <v>4680000</v>
      </c>
      <c r="AN491" s="158">
        <v>100100</v>
      </c>
      <c r="AO491" s="158">
        <v>100100</v>
      </c>
      <c r="AP491" s="158">
        <v>100000</v>
      </c>
      <c r="AQ491" s="432">
        <v>0</v>
      </c>
      <c r="AR491" s="432">
        <v>0</v>
      </c>
      <c r="AS491" s="432">
        <v>0</v>
      </c>
      <c r="AT491" s="432">
        <v>0</v>
      </c>
      <c r="AU491" s="432">
        <v>0</v>
      </c>
      <c r="AV491" s="432">
        <v>0</v>
      </c>
      <c r="AW491" s="432">
        <v>0</v>
      </c>
      <c r="AX491" s="432">
        <v>0</v>
      </c>
      <c r="AY491" s="158">
        <v>0</v>
      </c>
      <c r="AZ491" s="158">
        <v>0</v>
      </c>
      <c r="BA491" s="158">
        <v>0</v>
      </c>
      <c r="BB491" s="158">
        <v>0</v>
      </c>
      <c r="BC491" s="158">
        <v>0</v>
      </c>
      <c r="BD491" s="158">
        <v>0</v>
      </c>
      <c r="BE491" s="158">
        <v>0</v>
      </c>
      <c r="BF491" s="160">
        <v>0</v>
      </c>
      <c r="BG491" s="383">
        <v>2023</v>
      </c>
      <c r="BH491" s="383">
        <v>1</v>
      </c>
      <c r="BI491" s="383">
        <v>19</v>
      </c>
      <c r="BK491" s="147" t="str">
        <f>IF(R491=SUM(Z491,AH491,AP491,AX491,BF491),"○","×")</f>
        <v>○</v>
      </c>
    </row>
    <row r="492" spans="1:63" s="152" customFormat="1" x14ac:dyDescent="0.2">
      <c r="A492" s="428">
        <v>1697</v>
      </c>
      <c r="B492" s="429"/>
      <c r="C492" s="430"/>
      <c r="D492" s="429"/>
      <c r="E492" s="430"/>
      <c r="F492" s="429"/>
      <c r="G492" s="429"/>
      <c r="H492" s="430"/>
      <c r="I492" s="429"/>
      <c r="J492" s="429"/>
      <c r="K492" s="429"/>
      <c r="L492" s="383"/>
      <c r="M492" s="383" t="s">
        <v>772</v>
      </c>
      <c r="N492" s="383" t="s">
        <v>340</v>
      </c>
      <c r="O492" s="383" t="s">
        <v>773</v>
      </c>
      <c r="P492" s="383" t="s">
        <v>970</v>
      </c>
      <c r="Q492" s="383"/>
      <c r="R492" s="431">
        <v>113000</v>
      </c>
      <c r="S492" s="158">
        <v>0</v>
      </c>
      <c r="T492" s="158">
        <v>0</v>
      </c>
      <c r="U492" s="158">
        <v>0</v>
      </c>
      <c r="V492" s="158">
        <v>0</v>
      </c>
      <c r="W492" s="158">
        <v>0</v>
      </c>
      <c r="X492" s="158">
        <v>0</v>
      </c>
      <c r="Y492" s="158">
        <v>0</v>
      </c>
      <c r="Z492" s="158">
        <v>0</v>
      </c>
      <c r="AA492" s="432">
        <v>0</v>
      </c>
      <c r="AB492" s="432">
        <v>0</v>
      </c>
      <c r="AC492" s="432">
        <v>0</v>
      </c>
      <c r="AD492" s="432">
        <v>0</v>
      </c>
      <c r="AE492" s="432">
        <v>0</v>
      </c>
      <c r="AF492" s="432">
        <v>0</v>
      </c>
      <c r="AG492" s="432">
        <v>0</v>
      </c>
      <c r="AH492" s="432">
        <v>0</v>
      </c>
      <c r="AI492" s="158">
        <v>113226</v>
      </c>
      <c r="AJ492" s="158">
        <v>0</v>
      </c>
      <c r="AK492" s="158">
        <v>113226</v>
      </c>
      <c r="AL492" s="158">
        <v>113226</v>
      </c>
      <c r="AM492" s="158">
        <v>290361600</v>
      </c>
      <c r="AN492" s="158">
        <v>113226</v>
      </c>
      <c r="AO492" s="158">
        <v>113226</v>
      </c>
      <c r="AP492" s="158">
        <v>113000</v>
      </c>
      <c r="AQ492" s="432">
        <v>0</v>
      </c>
      <c r="AR492" s="432">
        <v>0</v>
      </c>
      <c r="AS492" s="432">
        <v>0</v>
      </c>
      <c r="AT492" s="432">
        <v>0</v>
      </c>
      <c r="AU492" s="432">
        <v>0</v>
      </c>
      <c r="AV492" s="432">
        <v>0</v>
      </c>
      <c r="AW492" s="432">
        <v>0</v>
      </c>
      <c r="AX492" s="432">
        <v>0</v>
      </c>
      <c r="AY492" s="158">
        <v>0</v>
      </c>
      <c r="AZ492" s="158">
        <v>0</v>
      </c>
      <c r="BA492" s="158">
        <v>0</v>
      </c>
      <c r="BB492" s="158">
        <v>0</v>
      </c>
      <c r="BC492" s="158">
        <v>0</v>
      </c>
      <c r="BD492" s="158">
        <v>0</v>
      </c>
      <c r="BE492" s="158">
        <v>0</v>
      </c>
      <c r="BF492" s="160">
        <v>0</v>
      </c>
      <c r="BG492" s="383">
        <v>2023</v>
      </c>
      <c r="BH492" s="383">
        <v>1</v>
      </c>
      <c r="BI492" s="383">
        <v>19</v>
      </c>
      <c r="BJ492" s="148"/>
      <c r="BK492" s="147" t="str">
        <f>IF(R492=SUM(Z492,AH492,AP492,AX492,BF492),"○","×")</f>
        <v>○</v>
      </c>
    </row>
    <row r="493" spans="1:63" x14ac:dyDescent="0.2">
      <c r="A493" s="428">
        <v>1698</v>
      </c>
      <c r="B493" s="429"/>
      <c r="C493" s="430"/>
      <c r="D493" s="429"/>
      <c r="E493" s="430"/>
      <c r="F493" s="429"/>
      <c r="G493" s="429"/>
      <c r="H493" s="430"/>
      <c r="I493" s="429"/>
      <c r="J493" s="429"/>
      <c r="K493" s="429"/>
      <c r="L493" s="383"/>
      <c r="M493" s="383" t="s">
        <v>886</v>
      </c>
      <c r="N493" s="383" t="s">
        <v>340</v>
      </c>
      <c r="O493" s="383" t="s">
        <v>887</v>
      </c>
      <c r="P493" s="383" t="s">
        <v>970</v>
      </c>
      <c r="Q493" s="383"/>
      <c r="R493" s="431">
        <v>878000</v>
      </c>
      <c r="S493" s="158">
        <v>0</v>
      </c>
      <c r="T493" s="158">
        <v>0</v>
      </c>
      <c r="U493" s="158">
        <v>0</v>
      </c>
      <c r="V493" s="158">
        <v>0</v>
      </c>
      <c r="W493" s="158">
        <v>0</v>
      </c>
      <c r="X493" s="158">
        <v>0</v>
      </c>
      <c r="Y493" s="158">
        <v>0</v>
      </c>
      <c r="Z493" s="158">
        <v>0</v>
      </c>
      <c r="AA493" s="432">
        <v>0</v>
      </c>
      <c r="AB493" s="432">
        <v>0</v>
      </c>
      <c r="AC493" s="432">
        <v>0</v>
      </c>
      <c r="AD493" s="432">
        <v>0</v>
      </c>
      <c r="AE493" s="432">
        <v>0</v>
      </c>
      <c r="AF493" s="432">
        <v>0</v>
      </c>
      <c r="AG493" s="432">
        <v>0</v>
      </c>
      <c r="AH493" s="432">
        <v>0</v>
      </c>
      <c r="AI493" s="158">
        <v>878614</v>
      </c>
      <c r="AJ493" s="158">
        <v>0</v>
      </c>
      <c r="AK493" s="158">
        <v>878614</v>
      </c>
      <c r="AL493" s="158">
        <v>878614</v>
      </c>
      <c r="AM493" s="158">
        <v>6501600</v>
      </c>
      <c r="AN493" s="158">
        <v>878614</v>
      </c>
      <c r="AO493" s="158">
        <v>878614</v>
      </c>
      <c r="AP493" s="158">
        <v>878000</v>
      </c>
      <c r="AQ493" s="432">
        <v>0</v>
      </c>
      <c r="AR493" s="432">
        <v>0</v>
      </c>
      <c r="AS493" s="432">
        <v>0</v>
      </c>
      <c r="AT493" s="432">
        <v>0</v>
      </c>
      <c r="AU493" s="432">
        <v>0</v>
      </c>
      <c r="AV493" s="432">
        <v>0</v>
      </c>
      <c r="AW493" s="432">
        <v>0</v>
      </c>
      <c r="AX493" s="432">
        <v>0</v>
      </c>
      <c r="AY493" s="158">
        <v>0</v>
      </c>
      <c r="AZ493" s="158">
        <v>0</v>
      </c>
      <c r="BA493" s="158">
        <v>0</v>
      </c>
      <c r="BB493" s="158">
        <v>0</v>
      </c>
      <c r="BC493" s="158">
        <v>0</v>
      </c>
      <c r="BD493" s="158">
        <v>0</v>
      </c>
      <c r="BE493" s="158">
        <v>0</v>
      </c>
      <c r="BF493" s="160">
        <v>0</v>
      </c>
      <c r="BG493" s="383">
        <v>2023</v>
      </c>
      <c r="BH493" s="383">
        <v>1</v>
      </c>
      <c r="BI493" s="383">
        <v>19</v>
      </c>
      <c r="BK493" s="147" t="str">
        <f>IF(R493=SUM(Z493,AH493,AP493,AX493,BF493),"○","×")</f>
        <v>○</v>
      </c>
    </row>
    <row r="494" spans="1:63" s="152" customFormat="1" x14ac:dyDescent="0.2">
      <c r="A494" s="428">
        <v>1699</v>
      </c>
      <c r="B494" s="429"/>
      <c r="C494" s="430"/>
      <c r="D494" s="429"/>
      <c r="E494" s="430"/>
      <c r="F494" s="429"/>
      <c r="G494" s="429"/>
      <c r="H494" s="430"/>
      <c r="I494" s="429"/>
      <c r="J494" s="429"/>
      <c r="K494" s="429"/>
      <c r="L494" s="383"/>
      <c r="M494" s="383" t="s">
        <v>888</v>
      </c>
      <c r="N494" s="383" t="s">
        <v>340</v>
      </c>
      <c r="O494" s="383" t="s">
        <v>368</v>
      </c>
      <c r="P494" s="383" t="s">
        <v>970</v>
      </c>
      <c r="Q494" s="383"/>
      <c r="R494" s="431">
        <v>191000</v>
      </c>
      <c r="S494" s="158">
        <v>0</v>
      </c>
      <c r="T494" s="158">
        <v>0</v>
      </c>
      <c r="U494" s="158">
        <v>0</v>
      </c>
      <c r="V494" s="158">
        <v>0</v>
      </c>
      <c r="W494" s="158">
        <v>0</v>
      </c>
      <c r="X494" s="158">
        <v>0</v>
      </c>
      <c r="Y494" s="158">
        <v>0</v>
      </c>
      <c r="Z494" s="158">
        <v>0</v>
      </c>
      <c r="AA494" s="432">
        <v>0</v>
      </c>
      <c r="AB494" s="432">
        <v>0</v>
      </c>
      <c r="AC494" s="432">
        <v>0</v>
      </c>
      <c r="AD494" s="432">
        <v>0</v>
      </c>
      <c r="AE494" s="432">
        <v>0</v>
      </c>
      <c r="AF494" s="432">
        <v>0</v>
      </c>
      <c r="AG494" s="432">
        <v>0</v>
      </c>
      <c r="AH494" s="432">
        <v>0</v>
      </c>
      <c r="AI494" s="158">
        <v>191520</v>
      </c>
      <c r="AJ494" s="158">
        <v>0</v>
      </c>
      <c r="AK494" s="158">
        <v>191520</v>
      </c>
      <c r="AL494" s="158">
        <v>191520</v>
      </c>
      <c r="AM494" s="158">
        <v>1533600</v>
      </c>
      <c r="AN494" s="158">
        <v>191520</v>
      </c>
      <c r="AO494" s="158">
        <v>191520</v>
      </c>
      <c r="AP494" s="158">
        <v>191000</v>
      </c>
      <c r="AQ494" s="432">
        <v>0</v>
      </c>
      <c r="AR494" s="432">
        <v>0</v>
      </c>
      <c r="AS494" s="432">
        <v>0</v>
      </c>
      <c r="AT494" s="432">
        <v>0</v>
      </c>
      <c r="AU494" s="432">
        <v>0</v>
      </c>
      <c r="AV494" s="432">
        <v>0</v>
      </c>
      <c r="AW494" s="432">
        <v>0</v>
      </c>
      <c r="AX494" s="432">
        <v>0</v>
      </c>
      <c r="AY494" s="158">
        <v>0</v>
      </c>
      <c r="AZ494" s="158">
        <v>0</v>
      </c>
      <c r="BA494" s="158">
        <v>0</v>
      </c>
      <c r="BB494" s="158">
        <v>0</v>
      </c>
      <c r="BC494" s="158">
        <v>0</v>
      </c>
      <c r="BD494" s="158">
        <v>0</v>
      </c>
      <c r="BE494" s="158">
        <v>0</v>
      </c>
      <c r="BF494" s="160">
        <v>0</v>
      </c>
      <c r="BG494" s="383">
        <v>2023</v>
      </c>
      <c r="BH494" s="383">
        <v>1</v>
      </c>
      <c r="BI494" s="383">
        <v>19</v>
      </c>
      <c r="BJ494" s="148"/>
      <c r="BK494" s="147" t="str">
        <f>IF(R494=SUM(Z494,AH494,AP494,AX494,BF494),"○","×")</f>
        <v>○</v>
      </c>
    </row>
    <row r="495" spans="1:63" x14ac:dyDescent="0.2">
      <c r="A495" s="428">
        <v>1700</v>
      </c>
      <c r="B495" s="429"/>
      <c r="C495" s="430"/>
      <c r="D495" s="429"/>
      <c r="E495" s="430"/>
      <c r="F495" s="429"/>
      <c r="G495" s="429"/>
      <c r="H495" s="430"/>
      <c r="I495" s="429"/>
      <c r="J495" s="429"/>
      <c r="K495" s="429"/>
      <c r="L495" s="383"/>
      <c r="M495" s="383" t="s">
        <v>779</v>
      </c>
      <c r="N495" s="383" t="s">
        <v>384</v>
      </c>
      <c r="O495" s="383" t="s">
        <v>391</v>
      </c>
      <c r="P495" s="383" t="s">
        <v>970</v>
      </c>
      <c r="Q495" s="383"/>
      <c r="R495" s="431">
        <v>78000</v>
      </c>
      <c r="S495" s="158">
        <v>0</v>
      </c>
      <c r="T495" s="158">
        <v>0</v>
      </c>
      <c r="U495" s="158">
        <v>0</v>
      </c>
      <c r="V495" s="158">
        <v>0</v>
      </c>
      <c r="W495" s="158">
        <v>0</v>
      </c>
      <c r="X495" s="158">
        <v>0</v>
      </c>
      <c r="Y495" s="158">
        <v>0</v>
      </c>
      <c r="Z495" s="158">
        <v>0</v>
      </c>
      <c r="AA495" s="432">
        <v>0</v>
      </c>
      <c r="AB495" s="432">
        <v>0</v>
      </c>
      <c r="AC495" s="432">
        <v>0</v>
      </c>
      <c r="AD495" s="432">
        <v>0</v>
      </c>
      <c r="AE495" s="432">
        <v>0</v>
      </c>
      <c r="AF495" s="432">
        <v>0</v>
      </c>
      <c r="AG495" s="432">
        <v>0</v>
      </c>
      <c r="AH495" s="432">
        <v>0</v>
      </c>
      <c r="AI495" s="158">
        <v>78210</v>
      </c>
      <c r="AJ495" s="158">
        <v>0</v>
      </c>
      <c r="AK495" s="158">
        <v>78210</v>
      </c>
      <c r="AL495" s="158">
        <v>78210</v>
      </c>
      <c r="AM495" s="158">
        <v>1080000</v>
      </c>
      <c r="AN495" s="158">
        <v>78210</v>
      </c>
      <c r="AO495" s="158">
        <v>78210</v>
      </c>
      <c r="AP495" s="158">
        <v>78000</v>
      </c>
      <c r="AQ495" s="432">
        <v>0</v>
      </c>
      <c r="AR495" s="432">
        <v>0</v>
      </c>
      <c r="AS495" s="432">
        <v>0</v>
      </c>
      <c r="AT495" s="432">
        <v>0</v>
      </c>
      <c r="AU495" s="432">
        <v>0</v>
      </c>
      <c r="AV495" s="432">
        <v>0</v>
      </c>
      <c r="AW495" s="432">
        <v>0</v>
      </c>
      <c r="AX495" s="432">
        <v>0</v>
      </c>
      <c r="AY495" s="158">
        <v>0</v>
      </c>
      <c r="AZ495" s="158">
        <v>0</v>
      </c>
      <c r="BA495" s="158">
        <v>0</v>
      </c>
      <c r="BB495" s="158">
        <v>0</v>
      </c>
      <c r="BC495" s="158">
        <v>0</v>
      </c>
      <c r="BD495" s="158">
        <v>0</v>
      </c>
      <c r="BE495" s="158">
        <v>0</v>
      </c>
      <c r="BF495" s="160">
        <v>0</v>
      </c>
      <c r="BG495" s="383">
        <v>2023</v>
      </c>
      <c r="BH495" s="383">
        <v>1</v>
      </c>
      <c r="BI495" s="383">
        <v>19</v>
      </c>
      <c r="BJ495" s="152"/>
      <c r="BK495" s="147" t="str">
        <f>IF(R495=SUM(Z495,AH495,AP495,AX495,BF495),"○","×")</f>
        <v>○</v>
      </c>
    </row>
    <row r="496" spans="1:63" x14ac:dyDescent="0.2">
      <c r="A496" s="428">
        <v>1701</v>
      </c>
      <c r="B496" s="429"/>
      <c r="C496" s="430"/>
      <c r="D496" s="429"/>
      <c r="E496" s="430"/>
      <c r="F496" s="429"/>
      <c r="G496" s="429"/>
      <c r="H496" s="430"/>
      <c r="I496" s="429"/>
      <c r="J496" s="429"/>
      <c r="K496" s="429"/>
      <c r="L496" s="383"/>
      <c r="M496" s="383" t="s">
        <v>480</v>
      </c>
      <c r="N496" s="383" t="s">
        <v>367</v>
      </c>
      <c r="O496" s="383" t="s">
        <v>481</v>
      </c>
      <c r="P496" s="383" t="s">
        <v>970</v>
      </c>
      <c r="Q496" s="383"/>
      <c r="R496" s="431">
        <v>180000</v>
      </c>
      <c r="S496" s="158">
        <v>0</v>
      </c>
      <c r="T496" s="158">
        <v>0</v>
      </c>
      <c r="U496" s="158">
        <v>0</v>
      </c>
      <c r="V496" s="158">
        <v>0</v>
      </c>
      <c r="W496" s="158">
        <v>0</v>
      </c>
      <c r="X496" s="158">
        <v>0</v>
      </c>
      <c r="Y496" s="158">
        <v>0</v>
      </c>
      <c r="Z496" s="158">
        <v>0</v>
      </c>
      <c r="AA496" s="432">
        <v>0</v>
      </c>
      <c r="AB496" s="432">
        <v>0</v>
      </c>
      <c r="AC496" s="432">
        <v>0</v>
      </c>
      <c r="AD496" s="432">
        <v>0</v>
      </c>
      <c r="AE496" s="432">
        <v>0</v>
      </c>
      <c r="AF496" s="432">
        <v>0</v>
      </c>
      <c r="AG496" s="432">
        <v>0</v>
      </c>
      <c r="AH496" s="432">
        <v>0</v>
      </c>
      <c r="AI496" s="158">
        <v>180270</v>
      </c>
      <c r="AJ496" s="158">
        <v>0</v>
      </c>
      <c r="AK496" s="158">
        <v>180270</v>
      </c>
      <c r="AL496" s="158">
        <v>180270</v>
      </c>
      <c r="AM496" s="158">
        <v>1598400</v>
      </c>
      <c r="AN496" s="158">
        <v>180270</v>
      </c>
      <c r="AO496" s="158">
        <v>180270</v>
      </c>
      <c r="AP496" s="158">
        <v>180000</v>
      </c>
      <c r="AQ496" s="432">
        <v>0</v>
      </c>
      <c r="AR496" s="432">
        <v>0</v>
      </c>
      <c r="AS496" s="432">
        <v>0</v>
      </c>
      <c r="AT496" s="432">
        <v>0</v>
      </c>
      <c r="AU496" s="432">
        <v>0</v>
      </c>
      <c r="AV496" s="432">
        <v>0</v>
      </c>
      <c r="AW496" s="432">
        <v>0</v>
      </c>
      <c r="AX496" s="432">
        <v>0</v>
      </c>
      <c r="AY496" s="158">
        <v>0</v>
      </c>
      <c r="AZ496" s="158">
        <v>0</v>
      </c>
      <c r="BA496" s="158">
        <v>0</v>
      </c>
      <c r="BB496" s="158">
        <v>0</v>
      </c>
      <c r="BC496" s="158">
        <v>0</v>
      </c>
      <c r="BD496" s="158">
        <v>0</v>
      </c>
      <c r="BE496" s="158">
        <v>0</v>
      </c>
      <c r="BF496" s="160">
        <v>0</v>
      </c>
      <c r="BG496" s="383">
        <v>2023</v>
      </c>
      <c r="BH496" s="383">
        <v>1</v>
      </c>
      <c r="BI496" s="383">
        <v>19</v>
      </c>
      <c r="BK496" s="147" t="str">
        <f>IF(R496=SUM(Z496,AH496,AP496,AX496,BF496),"○","×")</f>
        <v>○</v>
      </c>
    </row>
    <row r="497" spans="1:63" x14ac:dyDescent="0.2">
      <c r="A497" s="428">
        <v>1702</v>
      </c>
      <c r="B497" s="429"/>
      <c r="C497" s="430"/>
      <c r="D497" s="429"/>
      <c r="E497" s="430"/>
      <c r="F497" s="429"/>
      <c r="G497" s="429"/>
      <c r="H497" s="430"/>
      <c r="I497" s="429"/>
      <c r="J497" s="429"/>
      <c r="K497" s="429"/>
      <c r="L497" s="383"/>
      <c r="M497" s="383" t="s">
        <v>691</v>
      </c>
      <c r="N497" s="383" t="s">
        <v>323</v>
      </c>
      <c r="O497" s="383" t="s">
        <v>692</v>
      </c>
      <c r="P497" s="383" t="s">
        <v>970</v>
      </c>
      <c r="Q497" s="383"/>
      <c r="R497" s="431">
        <v>741000</v>
      </c>
      <c r="S497" s="158">
        <v>0</v>
      </c>
      <c r="T497" s="158">
        <v>0</v>
      </c>
      <c r="U497" s="158">
        <v>0</v>
      </c>
      <c r="V497" s="158">
        <v>0</v>
      </c>
      <c r="W497" s="158">
        <v>0</v>
      </c>
      <c r="X497" s="158">
        <v>0</v>
      </c>
      <c r="Y497" s="158">
        <v>0</v>
      </c>
      <c r="Z497" s="158">
        <v>0</v>
      </c>
      <c r="AA497" s="432">
        <v>0</v>
      </c>
      <c r="AB497" s="432">
        <v>0</v>
      </c>
      <c r="AC497" s="432">
        <v>0</v>
      </c>
      <c r="AD497" s="432">
        <v>0</v>
      </c>
      <c r="AE497" s="432">
        <v>0</v>
      </c>
      <c r="AF497" s="432">
        <v>0</v>
      </c>
      <c r="AG497" s="432">
        <v>0</v>
      </c>
      <c r="AH497" s="432">
        <v>0</v>
      </c>
      <c r="AI497" s="158">
        <v>741310</v>
      </c>
      <c r="AJ497" s="158">
        <v>0</v>
      </c>
      <c r="AK497" s="158">
        <v>741310</v>
      </c>
      <c r="AL497" s="158">
        <v>741310</v>
      </c>
      <c r="AM497" s="158">
        <v>2520000</v>
      </c>
      <c r="AN497" s="158">
        <v>741310</v>
      </c>
      <c r="AO497" s="158">
        <v>741310</v>
      </c>
      <c r="AP497" s="158">
        <v>741000</v>
      </c>
      <c r="AQ497" s="432">
        <v>0</v>
      </c>
      <c r="AR497" s="432">
        <v>0</v>
      </c>
      <c r="AS497" s="432">
        <v>0</v>
      </c>
      <c r="AT497" s="432">
        <v>0</v>
      </c>
      <c r="AU497" s="432">
        <v>0</v>
      </c>
      <c r="AV497" s="432">
        <v>0</v>
      </c>
      <c r="AW497" s="432">
        <v>0</v>
      </c>
      <c r="AX497" s="432">
        <v>0</v>
      </c>
      <c r="AY497" s="158">
        <v>0</v>
      </c>
      <c r="AZ497" s="158">
        <v>0</v>
      </c>
      <c r="BA497" s="158">
        <v>0</v>
      </c>
      <c r="BB497" s="158">
        <v>0</v>
      </c>
      <c r="BC497" s="158">
        <v>0</v>
      </c>
      <c r="BD497" s="158">
        <v>0</v>
      </c>
      <c r="BE497" s="158">
        <v>0</v>
      </c>
      <c r="BF497" s="160">
        <v>0</v>
      </c>
      <c r="BG497" s="383">
        <v>2023</v>
      </c>
      <c r="BH497" s="383">
        <v>1</v>
      </c>
      <c r="BI497" s="383">
        <v>19</v>
      </c>
      <c r="BJ497" s="152"/>
      <c r="BK497" s="147" t="str">
        <f>IF(R497=SUM(Z497,AH497,AP497,AX497,BF497),"○","×")</f>
        <v>○</v>
      </c>
    </row>
    <row r="498" spans="1:63" x14ac:dyDescent="0.2">
      <c r="A498" s="428">
        <v>1703</v>
      </c>
      <c r="B498" s="429"/>
      <c r="C498" s="430"/>
      <c r="D498" s="429"/>
      <c r="E498" s="430"/>
      <c r="F498" s="429"/>
      <c r="G498" s="429"/>
      <c r="H498" s="430"/>
      <c r="I498" s="429"/>
      <c r="J498" s="429"/>
      <c r="K498" s="429"/>
      <c r="L498" s="383"/>
      <c r="M498" s="383" t="s">
        <v>889</v>
      </c>
      <c r="N498" s="383" t="s">
        <v>402</v>
      </c>
      <c r="O498" s="383" t="s">
        <v>387</v>
      </c>
      <c r="P498" s="383" t="s">
        <v>970</v>
      </c>
      <c r="Q498" s="383"/>
      <c r="R498" s="431">
        <v>678000</v>
      </c>
      <c r="S498" s="158">
        <v>0</v>
      </c>
      <c r="T498" s="158">
        <v>0</v>
      </c>
      <c r="U498" s="158">
        <v>0</v>
      </c>
      <c r="V498" s="158">
        <v>0</v>
      </c>
      <c r="W498" s="158">
        <v>0</v>
      </c>
      <c r="X498" s="158">
        <v>0</v>
      </c>
      <c r="Y498" s="158">
        <v>0</v>
      </c>
      <c r="Z498" s="158">
        <v>0</v>
      </c>
      <c r="AA498" s="432">
        <v>0</v>
      </c>
      <c r="AB498" s="432">
        <v>0</v>
      </c>
      <c r="AC498" s="432">
        <v>0</v>
      </c>
      <c r="AD498" s="432">
        <v>0</v>
      </c>
      <c r="AE498" s="432">
        <v>0</v>
      </c>
      <c r="AF498" s="432">
        <v>0</v>
      </c>
      <c r="AG498" s="432">
        <v>0</v>
      </c>
      <c r="AH498" s="432">
        <v>0</v>
      </c>
      <c r="AI498" s="158">
        <v>678920</v>
      </c>
      <c r="AJ498" s="158">
        <v>0</v>
      </c>
      <c r="AK498" s="158">
        <v>678920</v>
      </c>
      <c r="AL498" s="158">
        <v>678920</v>
      </c>
      <c r="AM498" s="158">
        <v>1843200</v>
      </c>
      <c r="AN498" s="158">
        <v>678920</v>
      </c>
      <c r="AO498" s="158">
        <v>678920</v>
      </c>
      <c r="AP498" s="158">
        <v>678000</v>
      </c>
      <c r="AQ498" s="432">
        <v>0</v>
      </c>
      <c r="AR498" s="432">
        <v>0</v>
      </c>
      <c r="AS498" s="432">
        <v>0</v>
      </c>
      <c r="AT498" s="432">
        <v>0</v>
      </c>
      <c r="AU498" s="432">
        <v>0</v>
      </c>
      <c r="AV498" s="432">
        <v>0</v>
      </c>
      <c r="AW498" s="432">
        <v>0</v>
      </c>
      <c r="AX498" s="432">
        <v>0</v>
      </c>
      <c r="AY498" s="158">
        <v>0</v>
      </c>
      <c r="AZ498" s="158">
        <v>0</v>
      </c>
      <c r="BA498" s="158">
        <v>0</v>
      </c>
      <c r="BB498" s="158">
        <v>0</v>
      </c>
      <c r="BC498" s="158">
        <v>0</v>
      </c>
      <c r="BD498" s="158">
        <v>0</v>
      </c>
      <c r="BE498" s="158">
        <v>0</v>
      </c>
      <c r="BF498" s="160">
        <v>0</v>
      </c>
      <c r="BG498" s="383">
        <v>2023</v>
      </c>
      <c r="BH498" s="383">
        <v>1</v>
      </c>
      <c r="BI498" s="383">
        <v>19</v>
      </c>
      <c r="BK498" s="147" t="str">
        <f>IF(R498=SUM(Z498,AH498,AP498,AX498,BF498),"○","×")</f>
        <v>○</v>
      </c>
    </row>
    <row r="499" spans="1:63" x14ac:dyDescent="0.2">
      <c r="A499" s="428">
        <v>1704</v>
      </c>
      <c r="B499" s="429"/>
      <c r="C499" s="430"/>
      <c r="D499" s="429"/>
      <c r="E499" s="430"/>
      <c r="F499" s="429"/>
      <c r="G499" s="429"/>
      <c r="H499" s="430"/>
      <c r="I499" s="429"/>
      <c r="J499" s="429"/>
      <c r="K499" s="429"/>
      <c r="L499" s="383"/>
      <c r="M499" s="383" t="s">
        <v>890</v>
      </c>
      <c r="N499" s="383" t="s">
        <v>340</v>
      </c>
      <c r="O499" s="383" t="s">
        <v>619</v>
      </c>
      <c r="P499" s="383" t="s">
        <v>970</v>
      </c>
      <c r="Q499" s="383"/>
      <c r="R499" s="431">
        <v>1409000</v>
      </c>
      <c r="S499" s="158">
        <v>0</v>
      </c>
      <c r="T499" s="158">
        <v>0</v>
      </c>
      <c r="U499" s="158">
        <v>0</v>
      </c>
      <c r="V499" s="158">
        <v>0</v>
      </c>
      <c r="W499" s="158">
        <v>0</v>
      </c>
      <c r="X499" s="158">
        <v>0</v>
      </c>
      <c r="Y499" s="158">
        <v>0</v>
      </c>
      <c r="Z499" s="158">
        <v>0</v>
      </c>
      <c r="AA499" s="432">
        <v>0</v>
      </c>
      <c r="AB499" s="432">
        <v>0</v>
      </c>
      <c r="AC499" s="432">
        <v>0</v>
      </c>
      <c r="AD499" s="432">
        <v>0</v>
      </c>
      <c r="AE499" s="432">
        <v>0</v>
      </c>
      <c r="AF499" s="432">
        <v>0</v>
      </c>
      <c r="AG499" s="432">
        <v>0</v>
      </c>
      <c r="AH499" s="432">
        <v>0</v>
      </c>
      <c r="AI499" s="158">
        <v>1409760</v>
      </c>
      <c r="AJ499" s="158">
        <v>0</v>
      </c>
      <c r="AK499" s="158">
        <v>1409760</v>
      </c>
      <c r="AL499" s="158">
        <v>1409760</v>
      </c>
      <c r="AM499" s="158">
        <v>1566000</v>
      </c>
      <c r="AN499" s="158">
        <v>1409760</v>
      </c>
      <c r="AO499" s="158">
        <v>1409760</v>
      </c>
      <c r="AP499" s="158">
        <v>1409000</v>
      </c>
      <c r="AQ499" s="432">
        <v>0</v>
      </c>
      <c r="AR499" s="432">
        <v>0</v>
      </c>
      <c r="AS499" s="432">
        <v>0</v>
      </c>
      <c r="AT499" s="432">
        <v>0</v>
      </c>
      <c r="AU499" s="432">
        <v>0</v>
      </c>
      <c r="AV499" s="432">
        <v>0</v>
      </c>
      <c r="AW499" s="432">
        <v>0</v>
      </c>
      <c r="AX499" s="432">
        <v>0</v>
      </c>
      <c r="AY499" s="158">
        <v>0</v>
      </c>
      <c r="AZ499" s="158">
        <v>0</v>
      </c>
      <c r="BA499" s="158">
        <v>0</v>
      </c>
      <c r="BB499" s="158">
        <v>0</v>
      </c>
      <c r="BC499" s="158">
        <v>0</v>
      </c>
      <c r="BD499" s="158">
        <v>0</v>
      </c>
      <c r="BE499" s="158">
        <v>0</v>
      </c>
      <c r="BF499" s="160">
        <v>0</v>
      </c>
      <c r="BG499" s="383">
        <v>2023</v>
      </c>
      <c r="BH499" s="383">
        <v>1</v>
      </c>
      <c r="BI499" s="383">
        <v>19</v>
      </c>
      <c r="BK499" s="147" t="str">
        <f>IF(R499=SUM(Z499,AH499,AP499,AX499,BF499),"○","×")</f>
        <v>○</v>
      </c>
    </row>
    <row r="500" spans="1:63" s="891" customFormat="1" x14ac:dyDescent="0.2">
      <c r="A500" s="884">
        <v>1705</v>
      </c>
      <c r="B500" s="885"/>
      <c r="C500" s="886"/>
      <c r="D500" s="885"/>
      <c r="E500" s="886"/>
      <c r="F500" s="885"/>
      <c r="G500" s="885"/>
      <c r="H500" s="886"/>
      <c r="I500" s="885"/>
      <c r="J500" s="885"/>
      <c r="K500" s="885"/>
      <c r="L500" s="887"/>
      <c r="M500" s="887" t="s">
        <v>891</v>
      </c>
      <c r="N500" s="887" t="s">
        <v>547</v>
      </c>
      <c r="O500" s="887" t="s">
        <v>892</v>
      </c>
      <c r="P500" s="887" t="s">
        <v>970</v>
      </c>
      <c r="Q500" s="888"/>
      <c r="R500" s="157">
        <v>315000</v>
      </c>
      <c r="S500" s="889">
        <v>0</v>
      </c>
      <c r="T500" s="889">
        <v>0</v>
      </c>
      <c r="U500" s="889">
        <v>0</v>
      </c>
      <c r="V500" s="889">
        <v>0</v>
      </c>
      <c r="W500" s="889">
        <v>0</v>
      </c>
      <c r="X500" s="889">
        <v>0</v>
      </c>
      <c r="Y500" s="889">
        <v>0</v>
      </c>
      <c r="Z500" s="889">
        <v>0</v>
      </c>
      <c r="AA500" s="157">
        <v>0</v>
      </c>
      <c r="AB500" s="157">
        <v>0</v>
      </c>
      <c r="AC500" s="157">
        <v>0</v>
      </c>
      <c r="AD500" s="157">
        <v>0</v>
      </c>
      <c r="AE500" s="157">
        <v>0</v>
      </c>
      <c r="AF500" s="157">
        <v>0</v>
      </c>
      <c r="AG500" s="157">
        <v>0</v>
      </c>
      <c r="AH500" s="157">
        <v>0</v>
      </c>
      <c r="AI500" s="889">
        <v>315382</v>
      </c>
      <c r="AJ500" s="889">
        <v>0</v>
      </c>
      <c r="AK500" s="889">
        <v>315382</v>
      </c>
      <c r="AL500" s="889">
        <v>315382</v>
      </c>
      <c r="AM500" s="889">
        <v>1566000</v>
      </c>
      <c r="AN500" s="889">
        <v>315382</v>
      </c>
      <c r="AO500" s="889">
        <v>315382</v>
      </c>
      <c r="AP500" s="889">
        <v>315000</v>
      </c>
      <c r="AQ500" s="157">
        <v>0</v>
      </c>
      <c r="AR500" s="157">
        <v>0</v>
      </c>
      <c r="AS500" s="157">
        <v>0</v>
      </c>
      <c r="AT500" s="157">
        <v>0</v>
      </c>
      <c r="AU500" s="157">
        <v>0</v>
      </c>
      <c r="AV500" s="157">
        <v>0</v>
      </c>
      <c r="AW500" s="157">
        <v>0</v>
      </c>
      <c r="AX500" s="157">
        <v>0</v>
      </c>
      <c r="AY500" s="889">
        <v>0</v>
      </c>
      <c r="AZ500" s="889">
        <v>0</v>
      </c>
      <c r="BA500" s="889">
        <v>0</v>
      </c>
      <c r="BB500" s="889">
        <v>0</v>
      </c>
      <c r="BC500" s="889">
        <v>0</v>
      </c>
      <c r="BD500" s="889">
        <v>0</v>
      </c>
      <c r="BE500" s="889">
        <v>0</v>
      </c>
      <c r="BF500" s="890">
        <v>0</v>
      </c>
      <c r="BG500" s="887">
        <v>2023</v>
      </c>
      <c r="BH500" s="887">
        <v>3</v>
      </c>
      <c r="BI500" s="887">
        <v>30</v>
      </c>
    </row>
    <row r="501" spans="1:63" x14ac:dyDescent="0.2">
      <c r="A501" s="428">
        <v>1706</v>
      </c>
      <c r="B501" s="429"/>
      <c r="C501" s="430"/>
      <c r="D501" s="429"/>
      <c r="E501" s="430"/>
      <c r="F501" s="429"/>
      <c r="G501" s="429"/>
      <c r="H501" s="430"/>
      <c r="I501" s="429"/>
      <c r="J501" s="429"/>
      <c r="K501" s="429"/>
      <c r="L501" s="383"/>
      <c r="M501" s="383" t="s">
        <v>580</v>
      </c>
      <c r="N501" s="383" t="s">
        <v>356</v>
      </c>
      <c r="O501" s="383" t="s">
        <v>370</v>
      </c>
      <c r="P501" s="383" t="s">
        <v>971</v>
      </c>
      <c r="Q501" s="383"/>
      <c r="R501" s="431">
        <v>634000</v>
      </c>
      <c r="S501" s="158">
        <v>0</v>
      </c>
      <c r="T501" s="158">
        <v>0</v>
      </c>
      <c r="U501" s="158">
        <v>0</v>
      </c>
      <c r="V501" s="158">
        <v>0</v>
      </c>
      <c r="W501" s="158">
        <v>0</v>
      </c>
      <c r="X501" s="158">
        <v>0</v>
      </c>
      <c r="Y501" s="158">
        <v>0</v>
      </c>
      <c r="Z501" s="158">
        <v>0</v>
      </c>
      <c r="AA501" s="432">
        <v>0</v>
      </c>
      <c r="AB501" s="432">
        <v>0</v>
      </c>
      <c r="AC501" s="432">
        <v>0</v>
      </c>
      <c r="AD501" s="432">
        <v>0</v>
      </c>
      <c r="AE501" s="432">
        <v>0</v>
      </c>
      <c r="AF501" s="432">
        <v>0</v>
      </c>
      <c r="AG501" s="432">
        <v>0</v>
      </c>
      <c r="AH501" s="432">
        <v>0</v>
      </c>
      <c r="AI501" s="158">
        <v>634150</v>
      </c>
      <c r="AJ501" s="158">
        <v>0</v>
      </c>
      <c r="AK501" s="158">
        <v>634150</v>
      </c>
      <c r="AL501" s="158">
        <v>634150</v>
      </c>
      <c r="AM501" s="158">
        <v>1800000</v>
      </c>
      <c r="AN501" s="158">
        <v>634150</v>
      </c>
      <c r="AO501" s="158">
        <v>634150</v>
      </c>
      <c r="AP501" s="158">
        <v>634000</v>
      </c>
      <c r="AQ501" s="432">
        <v>0</v>
      </c>
      <c r="AR501" s="432">
        <v>0</v>
      </c>
      <c r="AS501" s="432">
        <v>0</v>
      </c>
      <c r="AT501" s="432">
        <v>0</v>
      </c>
      <c r="AU501" s="432">
        <v>0</v>
      </c>
      <c r="AV501" s="432">
        <v>0</v>
      </c>
      <c r="AW501" s="432">
        <v>0</v>
      </c>
      <c r="AX501" s="432">
        <v>0</v>
      </c>
      <c r="AY501" s="158">
        <v>0</v>
      </c>
      <c r="AZ501" s="158">
        <v>0</v>
      </c>
      <c r="BA501" s="158">
        <v>0</v>
      </c>
      <c r="BB501" s="158">
        <v>0</v>
      </c>
      <c r="BC501" s="158">
        <v>0</v>
      </c>
      <c r="BD501" s="158">
        <v>0</v>
      </c>
      <c r="BE501" s="158">
        <v>0</v>
      </c>
      <c r="BF501" s="160">
        <v>0</v>
      </c>
      <c r="BG501" s="383">
        <v>2023</v>
      </c>
      <c r="BH501" s="383">
        <v>1</v>
      </c>
      <c r="BI501" s="383">
        <v>19</v>
      </c>
      <c r="BK501" s="147" t="str">
        <f>IF(R501=SUM(Z501,AH501,AP501,AX501,BF501),"○","×")</f>
        <v>○</v>
      </c>
    </row>
    <row r="502" spans="1:63" x14ac:dyDescent="0.2">
      <c r="A502" s="428">
        <v>1707</v>
      </c>
      <c r="B502" s="429"/>
      <c r="C502" s="430"/>
      <c r="D502" s="429"/>
      <c r="E502" s="430"/>
      <c r="F502" s="429"/>
      <c r="G502" s="429"/>
      <c r="H502" s="430"/>
      <c r="I502" s="429"/>
      <c r="J502" s="429"/>
      <c r="K502" s="429"/>
      <c r="L502" s="383"/>
      <c r="M502" s="383" t="s">
        <v>893</v>
      </c>
      <c r="N502" s="383" t="s">
        <v>323</v>
      </c>
      <c r="O502" s="383" t="s">
        <v>450</v>
      </c>
      <c r="P502" s="383" t="s">
        <v>970</v>
      </c>
      <c r="Q502" s="383"/>
      <c r="R502" s="431">
        <v>445000</v>
      </c>
      <c r="S502" s="158">
        <v>0</v>
      </c>
      <c r="T502" s="158">
        <v>0</v>
      </c>
      <c r="U502" s="158">
        <v>0</v>
      </c>
      <c r="V502" s="158">
        <v>0</v>
      </c>
      <c r="W502" s="158">
        <v>0</v>
      </c>
      <c r="X502" s="158">
        <v>0</v>
      </c>
      <c r="Y502" s="158">
        <v>0</v>
      </c>
      <c r="Z502" s="158">
        <v>0</v>
      </c>
      <c r="AA502" s="432">
        <v>0</v>
      </c>
      <c r="AB502" s="432">
        <v>0</v>
      </c>
      <c r="AC502" s="432">
        <v>0</v>
      </c>
      <c r="AD502" s="432">
        <v>0</v>
      </c>
      <c r="AE502" s="432">
        <v>0</v>
      </c>
      <c r="AF502" s="432">
        <v>0</v>
      </c>
      <c r="AG502" s="432">
        <v>0</v>
      </c>
      <c r="AH502" s="432">
        <v>0</v>
      </c>
      <c r="AI502" s="158">
        <v>445575</v>
      </c>
      <c r="AJ502" s="158">
        <v>0</v>
      </c>
      <c r="AK502" s="158">
        <v>445575</v>
      </c>
      <c r="AL502" s="158">
        <v>445575</v>
      </c>
      <c r="AM502" s="158">
        <v>1555200</v>
      </c>
      <c r="AN502" s="158">
        <v>445575</v>
      </c>
      <c r="AO502" s="158">
        <v>445575</v>
      </c>
      <c r="AP502" s="158">
        <v>445000</v>
      </c>
      <c r="AQ502" s="432">
        <v>0</v>
      </c>
      <c r="AR502" s="432">
        <v>0</v>
      </c>
      <c r="AS502" s="432">
        <v>0</v>
      </c>
      <c r="AT502" s="432">
        <v>0</v>
      </c>
      <c r="AU502" s="432">
        <v>0</v>
      </c>
      <c r="AV502" s="432">
        <v>0</v>
      </c>
      <c r="AW502" s="432">
        <v>0</v>
      </c>
      <c r="AX502" s="432">
        <v>0</v>
      </c>
      <c r="AY502" s="158">
        <v>0</v>
      </c>
      <c r="AZ502" s="158">
        <v>0</v>
      </c>
      <c r="BA502" s="158">
        <v>0</v>
      </c>
      <c r="BB502" s="158">
        <v>0</v>
      </c>
      <c r="BC502" s="158">
        <v>0</v>
      </c>
      <c r="BD502" s="158">
        <v>0</v>
      </c>
      <c r="BE502" s="158">
        <v>0</v>
      </c>
      <c r="BF502" s="160">
        <v>0</v>
      </c>
      <c r="BG502" s="383">
        <v>2023</v>
      </c>
      <c r="BH502" s="383">
        <v>1</v>
      </c>
      <c r="BI502" s="383">
        <v>19</v>
      </c>
      <c r="BK502" s="147" t="str">
        <f>IF(R502=SUM(Z502,AH502,AP502,AX502,BF502),"○","×")</f>
        <v>○</v>
      </c>
    </row>
    <row r="503" spans="1:63" x14ac:dyDescent="0.2">
      <c r="A503" s="428">
        <v>1708</v>
      </c>
      <c r="B503" s="429"/>
      <c r="C503" s="430"/>
      <c r="D503" s="429"/>
      <c r="E503" s="430"/>
      <c r="F503" s="429"/>
      <c r="G503" s="429"/>
      <c r="H503" s="430"/>
      <c r="I503" s="429"/>
      <c r="J503" s="429"/>
      <c r="K503" s="429"/>
      <c r="L503" s="383"/>
      <c r="M503" s="383" t="s">
        <v>894</v>
      </c>
      <c r="N503" s="383" t="s">
        <v>408</v>
      </c>
      <c r="O503" s="383" t="s">
        <v>692</v>
      </c>
      <c r="P503" s="383" t="s">
        <v>970</v>
      </c>
      <c r="Q503" s="383"/>
      <c r="R503" s="431">
        <v>153000</v>
      </c>
      <c r="S503" s="158">
        <v>0</v>
      </c>
      <c r="T503" s="158">
        <v>0</v>
      </c>
      <c r="U503" s="158">
        <v>0</v>
      </c>
      <c r="V503" s="158">
        <v>0</v>
      </c>
      <c r="W503" s="158">
        <v>0</v>
      </c>
      <c r="X503" s="158">
        <v>0</v>
      </c>
      <c r="Y503" s="158">
        <v>0</v>
      </c>
      <c r="Z503" s="158">
        <v>0</v>
      </c>
      <c r="AA503" s="432">
        <v>0</v>
      </c>
      <c r="AB503" s="432">
        <v>0</v>
      </c>
      <c r="AC503" s="432">
        <v>0</v>
      </c>
      <c r="AD503" s="432">
        <v>0</v>
      </c>
      <c r="AE503" s="432">
        <v>0</v>
      </c>
      <c r="AF503" s="432">
        <v>0</v>
      </c>
      <c r="AG503" s="432">
        <v>0</v>
      </c>
      <c r="AH503" s="432">
        <v>0</v>
      </c>
      <c r="AI503" s="158">
        <v>153230</v>
      </c>
      <c r="AJ503" s="158">
        <v>0</v>
      </c>
      <c r="AK503" s="158">
        <v>153230</v>
      </c>
      <c r="AL503" s="158">
        <v>153230</v>
      </c>
      <c r="AM503" s="158">
        <v>1728000</v>
      </c>
      <c r="AN503" s="158">
        <v>153230</v>
      </c>
      <c r="AO503" s="158">
        <v>153230</v>
      </c>
      <c r="AP503" s="158">
        <v>153000</v>
      </c>
      <c r="AQ503" s="432">
        <v>0</v>
      </c>
      <c r="AR503" s="432">
        <v>0</v>
      </c>
      <c r="AS503" s="432">
        <v>0</v>
      </c>
      <c r="AT503" s="432">
        <v>0</v>
      </c>
      <c r="AU503" s="432">
        <v>0</v>
      </c>
      <c r="AV503" s="432">
        <v>0</v>
      </c>
      <c r="AW503" s="432">
        <v>0</v>
      </c>
      <c r="AX503" s="432">
        <v>0</v>
      </c>
      <c r="AY503" s="158">
        <v>0</v>
      </c>
      <c r="AZ503" s="158">
        <v>0</v>
      </c>
      <c r="BA503" s="158">
        <v>0</v>
      </c>
      <c r="BB503" s="158">
        <v>0</v>
      </c>
      <c r="BC503" s="158">
        <v>0</v>
      </c>
      <c r="BD503" s="158">
        <v>0</v>
      </c>
      <c r="BE503" s="158">
        <v>0</v>
      </c>
      <c r="BF503" s="160">
        <v>0</v>
      </c>
      <c r="BG503" s="383">
        <v>2023</v>
      </c>
      <c r="BH503" s="383">
        <v>1</v>
      </c>
      <c r="BI503" s="383">
        <v>19</v>
      </c>
      <c r="BK503" s="147" t="str">
        <f>IF(R503=SUM(Z503,AH503,AP503,AX503,BF503),"○","×")</f>
        <v>○</v>
      </c>
    </row>
    <row r="504" spans="1:63" x14ac:dyDescent="0.2">
      <c r="A504" s="428">
        <v>1710</v>
      </c>
      <c r="B504" s="429"/>
      <c r="C504" s="430"/>
      <c r="D504" s="429"/>
      <c r="E504" s="430"/>
      <c r="F504" s="429"/>
      <c r="G504" s="429"/>
      <c r="H504" s="430"/>
      <c r="I504" s="429"/>
      <c r="J504" s="429"/>
      <c r="K504" s="429"/>
      <c r="L504" s="383"/>
      <c r="M504" s="383" t="s">
        <v>495</v>
      </c>
      <c r="N504" s="383" t="s">
        <v>323</v>
      </c>
      <c r="O504" s="383" t="s">
        <v>466</v>
      </c>
      <c r="P504" s="383" t="s">
        <v>970</v>
      </c>
      <c r="Q504" s="383"/>
      <c r="R504" s="431">
        <v>404000</v>
      </c>
      <c r="S504" s="158">
        <v>0</v>
      </c>
      <c r="T504" s="158">
        <v>0</v>
      </c>
      <c r="U504" s="158">
        <v>0</v>
      </c>
      <c r="V504" s="158">
        <v>0</v>
      </c>
      <c r="W504" s="158">
        <v>0</v>
      </c>
      <c r="X504" s="158">
        <v>0</v>
      </c>
      <c r="Y504" s="158">
        <v>0</v>
      </c>
      <c r="Z504" s="158">
        <v>0</v>
      </c>
      <c r="AA504" s="432">
        <v>0</v>
      </c>
      <c r="AB504" s="432">
        <v>0</v>
      </c>
      <c r="AC504" s="432">
        <v>0</v>
      </c>
      <c r="AD504" s="432">
        <v>0</v>
      </c>
      <c r="AE504" s="432">
        <v>0</v>
      </c>
      <c r="AF504" s="432">
        <v>0</v>
      </c>
      <c r="AG504" s="432">
        <v>0</v>
      </c>
      <c r="AH504" s="432">
        <v>0</v>
      </c>
      <c r="AI504" s="158">
        <v>404099</v>
      </c>
      <c r="AJ504" s="158">
        <v>0</v>
      </c>
      <c r="AK504" s="158">
        <v>404099</v>
      </c>
      <c r="AL504" s="158">
        <v>404099</v>
      </c>
      <c r="AM504" s="158">
        <v>4672800</v>
      </c>
      <c r="AN504" s="158">
        <v>404099</v>
      </c>
      <c r="AO504" s="158">
        <v>404099</v>
      </c>
      <c r="AP504" s="158">
        <v>404000</v>
      </c>
      <c r="AQ504" s="432">
        <v>0</v>
      </c>
      <c r="AR504" s="432">
        <v>0</v>
      </c>
      <c r="AS504" s="432">
        <v>0</v>
      </c>
      <c r="AT504" s="432">
        <v>0</v>
      </c>
      <c r="AU504" s="432">
        <v>0</v>
      </c>
      <c r="AV504" s="432">
        <v>0</v>
      </c>
      <c r="AW504" s="432">
        <v>0</v>
      </c>
      <c r="AX504" s="432">
        <v>0</v>
      </c>
      <c r="AY504" s="158">
        <v>0</v>
      </c>
      <c r="AZ504" s="158">
        <v>0</v>
      </c>
      <c r="BA504" s="158">
        <v>0</v>
      </c>
      <c r="BB504" s="158">
        <v>0</v>
      </c>
      <c r="BC504" s="158">
        <v>0</v>
      </c>
      <c r="BD504" s="158">
        <v>0</v>
      </c>
      <c r="BE504" s="158">
        <v>0</v>
      </c>
      <c r="BF504" s="160">
        <v>0</v>
      </c>
      <c r="BG504" s="383">
        <v>2023</v>
      </c>
      <c r="BH504" s="383">
        <v>1</v>
      </c>
      <c r="BI504" s="383">
        <v>19</v>
      </c>
      <c r="BK504" s="147" t="str">
        <f>IF(R504=SUM(Z504,AH504,AP504,AX504,BF504),"○","×")</f>
        <v>○</v>
      </c>
    </row>
    <row r="505" spans="1:63" x14ac:dyDescent="0.2">
      <c r="A505" s="428">
        <v>1711</v>
      </c>
      <c r="B505" s="429"/>
      <c r="C505" s="430"/>
      <c r="D505" s="429"/>
      <c r="E505" s="430"/>
      <c r="F505" s="429"/>
      <c r="G505" s="429"/>
      <c r="H505" s="430"/>
      <c r="I505" s="429"/>
      <c r="J505" s="429"/>
      <c r="K505" s="429"/>
      <c r="L505" s="383"/>
      <c r="M505" s="383" t="s">
        <v>895</v>
      </c>
      <c r="N505" s="383" t="s">
        <v>367</v>
      </c>
      <c r="O505" s="383" t="s">
        <v>565</v>
      </c>
      <c r="P505" s="383" t="s">
        <v>970</v>
      </c>
      <c r="Q505" s="383"/>
      <c r="R505" s="431">
        <v>281000</v>
      </c>
      <c r="S505" s="158">
        <v>0</v>
      </c>
      <c r="T505" s="158">
        <v>0</v>
      </c>
      <c r="U505" s="158">
        <v>0</v>
      </c>
      <c r="V505" s="158">
        <v>0</v>
      </c>
      <c r="W505" s="158">
        <v>0</v>
      </c>
      <c r="X505" s="158">
        <v>0</v>
      </c>
      <c r="Y505" s="158">
        <v>0</v>
      </c>
      <c r="Z505" s="158">
        <v>0</v>
      </c>
      <c r="AA505" s="432">
        <v>0</v>
      </c>
      <c r="AB505" s="432">
        <v>0</v>
      </c>
      <c r="AC505" s="432">
        <v>0</v>
      </c>
      <c r="AD505" s="432">
        <v>0</v>
      </c>
      <c r="AE505" s="432">
        <v>0</v>
      </c>
      <c r="AF505" s="432">
        <v>0</v>
      </c>
      <c r="AG505" s="432">
        <v>0</v>
      </c>
      <c r="AH505" s="432">
        <v>0</v>
      </c>
      <c r="AI505" s="158">
        <v>281820</v>
      </c>
      <c r="AJ505" s="158">
        <v>0</v>
      </c>
      <c r="AK505" s="158">
        <v>281820</v>
      </c>
      <c r="AL505" s="158">
        <v>281820</v>
      </c>
      <c r="AM505" s="158">
        <v>3132000</v>
      </c>
      <c r="AN505" s="158">
        <v>281820</v>
      </c>
      <c r="AO505" s="158">
        <v>281820</v>
      </c>
      <c r="AP505" s="158">
        <v>281000</v>
      </c>
      <c r="AQ505" s="432">
        <v>0</v>
      </c>
      <c r="AR505" s="432">
        <v>0</v>
      </c>
      <c r="AS505" s="432">
        <v>0</v>
      </c>
      <c r="AT505" s="432">
        <v>0</v>
      </c>
      <c r="AU505" s="432">
        <v>0</v>
      </c>
      <c r="AV505" s="432">
        <v>0</v>
      </c>
      <c r="AW505" s="432">
        <v>0</v>
      </c>
      <c r="AX505" s="432">
        <v>0</v>
      </c>
      <c r="AY505" s="158">
        <v>0</v>
      </c>
      <c r="AZ505" s="158">
        <v>0</v>
      </c>
      <c r="BA505" s="158">
        <v>0</v>
      </c>
      <c r="BB505" s="158">
        <v>0</v>
      </c>
      <c r="BC505" s="158">
        <v>0</v>
      </c>
      <c r="BD505" s="158">
        <v>0</v>
      </c>
      <c r="BE505" s="158">
        <v>0</v>
      </c>
      <c r="BF505" s="160">
        <v>0</v>
      </c>
      <c r="BG505" s="383">
        <v>2023</v>
      </c>
      <c r="BH505" s="383">
        <v>1</v>
      </c>
      <c r="BI505" s="383">
        <v>19</v>
      </c>
      <c r="BK505" s="147" t="str">
        <f>IF(R505=SUM(Z505,AH505,AP505,AX505,BF505),"○","×")</f>
        <v>○</v>
      </c>
    </row>
    <row r="506" spans="1:63" x14ac:dyDescent="0.2">
      <c r="A506" s="428">
        <v>1712</v>
      </c>
      <c r="B506" s="429"/>
      <c r="C506" s="430"/>
      <c r="D506" s="429"/>
      <c r="E506" s="430"/>
      <c r="F506" s="429"/>
      <c r="G506" s="429"/>
      <c r="H506" s="430"/>
      <c r="I506" s="429"/>
      <c r="J506" s="429"/>
      <c r="K506" s="429"/>
      <c r="L506" s="383"/>
      <c r="M506" s="383" t="s">
        <v>896</v>
      </c>
      <c r="N506" s="383" t="s">
        <v>332</v>
      </c>
      <c r="O506" s="383" t="s">
        <v>897</v>
      </c>
      <c r="P506" s="383" t="s">
        <v>970</v>
      </c>
      <c r="Q506" s="383"/>
      <c r="R506" s="431">
        <v>238000</v>
      </c>
      <c r="S506" s="158">
        <v>0</v>
      </c>
      <c r="T506" s="158">
        <v>0</v>
      </c>
      <c r="U506" s="158">
        <v>0</v>
      </c>
      <c r="V506" s="158">
        <v>0</v>
      </c>
      <c r="W506" s="158">
        <v>0</v>
      </c>
      <c r="X506" s="158">
        <v>0</v>
      </c>
      <c r="Y506" s="158">
        <v>0</v>
      </c>
      <c r="Z506" s="158">
        <v>0</v>
      </c>
      <c r="AA506" s="432">
        <v>0</v>
      </c>
      <c r="AB506" s="432">
        <v>0</v>
      </c>
      <c r="AC506" s="432">
        <v>0</v>
      </c>
      <c r="AD506" s="432">
        <v>0</v>
      </c>
      <c r="AE506" s="432">
        <v>0</v>
      </c>
      <c r="AF506" s="432">
        <v>0</v>
      </c>
      <c r="AG506" s="432">
        <v>0</v>
      </c>
      <c r="AH506" s="432">
        <v>0</v>
      </c>
      <c r="AI506" s="158">
        <v>238400</v>
      </c>
      <c r="AJ506" s="158">
        <v>0</v>
      </c>
      <c r="AK506" s="158">
        <v>238400</v>
      </c>
      <c r="AL506" s="158">
        <v>238400</v>
      </c>
      <c r="AM506" s="158">
        <v>2178000</v>
      </c>
      <c r="AN506" s="158">
        <v>238400</v>
      </c>
      <c r="AO506" s="158">
        <v>238400</v>
      </c>
      <c r="AP506" s="158">
        <v>238000</v>
      </c>
      <c r="AQ506" s="432">
        <v>0</v>
      </c>
      <c r="AR506" s="432">
        <v>0</v>
      </c>
      <c r="AS506" s="432">
        <v>0</v>
      </c>
      <c r="AT506" s="432">
        <v>0</v>
      </c>
      <c r="AU506" s="432">
        <v>0</v>
      </c>
      <c r="AV506" s="432">
        <v>0</v>
      </c>
      <c r="AW506" s="432">
        <v>0</v>
      </c>
      <c r="AX506" s="432">
        <v>0</v>
      </c>
      <c r="AY506" s="158">
        <v>0</v>
      </c>
      <c r="AZ506" s="158">
        <v>0</v>
      </c>
      <c r="BA506" s="158">
        <v>0</v>
      </c>
      <c r="BB506" s="158">
        <v>0</v>
      </c>
      <c r="BC506" s="158">
        <v>0</v>
      </c>
      <c r="BD506" s="158">
        <v>0</v>
      </c>
      <c r="BE506" s="158">
        <v>0</v>
      </c>
      <c r="BF506" s="160">
        <v>0</v>
      </c>
      <c r="BG506" s="383">
        <v>2023</v>
      </c>
      <c r="BH506" s="383">
        <v>1</v>
      </c>
      <c r="BI506" s="383">
        <v>19</v>
      </c>
      <c r="BK506" s="147" t="str">
        <f>IF(R506=SUM(Z506,AH506,AP506,AX506,BF506),"○","×")</f>
        <v>○</v>
      </c>
    </row>
    <row r="507" spans="1:63" x14ac:dyDescent="0.2">
      <c r="A507" s="428">
        <v>1713</v>
      </c>
      <c r="B507" s="429"/>
      <c r="C507" s="430"/>
      <c r="D507" s="429"/>
      <c r="E507" s="430"/>
      <c r="F507" s="429"/>
      <c r="G507" s="429"/>
      <c r="H507" s="430"/>
      <c r="I507" s="429"/>
      <c r="J507" s="429"/>
      <c r="K507" s="429"/>
      <c r="L507" s="383"/>
      <c r="M507" s="383" t="s">
        <v>859</v>
      </c>
      <c r="N507" s="383" t="s">
        <v>367</v>
      </c>
      <c r="O507" s="383" t="s">
        <v>450</v>
      </c>
      <c r="P507" s="383" t="s">
        <v>970</v>
      </c>
      <c r="Q507" s="383"/>
      <c r="R507" s="431">
        <v>165000</v>
      </c>
      <c r="S507" s="158">
        <v>0</v>
      </c>
      <c r="T507" s="158">
        <v>0</v>
      </c>
      <c r="U507" s="158">
        <v>0</v>
      </c>
      <c r="V507" s="158">
        <v>0</v>
      </c>
      <c r="W507" s="158">
        <v>0</v>
      </c>
      <c r="X507" s="158">
        <v>0</v>
      </c>
      <c r="Y507" s="158">
        <v>0</v>
      </c>
      <c r="Z507" s="158">
        <v>0</v>
      </c>
      <c r="AA507" s="432">
        <v>0</v>
      </c>
      <c r="AB507" s="432">
        <v>0</v>
      </c>
      <c r="AC507" s="432">
        <v>0</v>
      </c>
      <c r="AD507" s="432">
        <v>0</v>
      </c>
      <c r="AE507" s="432">
        <v>0</v>
      </c>
      <c r="AF507" s="432">
        <v>0</v>
      </c>
      <c r="AG507" s="432">
        <v>0</v>
      </c>
      <c r="AH507" s="432">
        <v>0</v>
      </c>
      <c r="AI507" s="158">
        <v>165000</v>
      </c>
      <c r="AJ507" s="158">
        <v>0</v>
      </c>
      <c r="AK507" s="158">
        <v>165000</v>
      </c>
      <c r="AL507" s="158">
        <v>165000</v>
      </c>
      <c r="AM507" s="158">
        <v>5227200</v>
      </c>
      <c r="AN507" s="158">
        <v>165000</v>
      </c>
      <c r="AO507" s="158">
        <v>165000</v>
      </c>
      <c r="AP507" s="158">
        <v>165000</v>
      </c>
      <c r="AQ507" s="432">
        <v>0</v>
      </c>
      <c r="AR507" s="432">
        <v>0</v>
      </c>
      <c r="AS507" s="432">
        <v>0</v>
      </c>
      <c r="AT507" s="432">
        <v>0</v>
      </c>
      <c r="AU507" s="432">
        <v>0</v>
      </c>
      <c r="AV507" s="432">
        <v>0</v>
      </c>
      <c r="AW507" s="432">
        <v>0</v>
      </c>
      <c r="AX507" s="432">
        <v>0</v>
      </c>
      <c r="AY507" s="158">
        <v>0</v>
      </c>
      <c r="AZ507" s="158">
        <v>0</v>
      </c>
      <c r="BA507" s="158">
        <v>0</v>
      </c>
      <c r="BB507" s="158">
        <v>0</v>
      </c>
      <c r="BC507" s="158">
        <v>0</v>
      </c>
      <c r="BD507" s="158">
        <v>0</v>
      </c>
      <c r="BE507" s="158">
        <v>0</v>
      </c>
      <c r="BF507" s="160">
        <v>0</v>
      </c>
      <c r="BG507" s="383">
        <v>2023</v>
      </c>
      <c r="BH507" s="383">
        <v>1</v>
      </c>
      <c r="BI507" s="383">
        <v>19</v>
      </c>
      <c r="BK507" s="147" t="str">
        <f>IF(R507=SUM(Z507,AH507,AP507,AX507,BF507),"○","×")</f>
        <v>○</v>
      </c>
    </row>
    <row r="508" spans="1:63" x14ac:dyDescent="0.2">
      <c r="A508" s="428">
        <v>1714</v>
      </c>
      <c r="B508" s="429"/>
      <c r="C508" s="430"/>
      <c r="D508" s="429"/>
      <c r="E508" s="430"/>
      <c r="F508" s="429"/>
      <c r="G508" s="429"/>
      <c r="H508" s="430"/>
      <c r="I508" s="429"/>
      <c r="J508" s="429"/>
      <c r="K508" s="429"/>
      <c r="L508" s="383"/>
      <c r="M508" s="383" t="s">
        <v>579</v>
      </c>
      <c r="N508" s="383" t="s">
        <v>367</v>
      </c>
      <c r="O508" s="383" t="s">
        <v>382</v>
      </c>
      <c r="P508" s="383" t="s">
        <v>970</v>
      </c>
      <c r="Q508" s="383"/>
      <c r="R508" s="431">
        <v>244000</v>
      </c>
      <c r="S508" s="158">
        <v>0</v>
      </c>
      <c r="T508" s="158">
        <v>0</v>
      </c>
      <c r="U508" s="158">
        <v>0</v>
      </c>
      <c r="V508" s="158">
        <v>0</v>
      </c>
      <c r="W508" s="158">
        <v>0</v>
      </c>
      <c r="X508" s="158">
        <v>0</v>
      </c>
      <c r="Y508" s="158">
        <v>0</v>
      </c>
      <c r="Z508" s="158">
        <v>0</v>
      </c>
      <c r="AA508" s="432">
        <v>0</v>
      </c>
      <c r="AB508" s="432">
        <v>0</v>
      </c>
      <c r="AC508" s="432">
        <v>0</v>
      </c>
      <c r="AD508" s="432">
        <v>0</v>
      </c>
      <c r="AE508" s="432">
        <v>0</v>
      </c>
      <c r="AF508" s="432">
        <v>0</v>
      </c>
      <c r="AG508" s="432">
        <v>0</v>
      </c>
      <c r="AH508" s="432">
        <v>0</v>
      </c>
      <c r="AI508" s="158">
        <v>244967</v>
      </c>
      <c r="AJ508" s="158">
        <v>0</v>
      </c>
      <c r="AK508" s="158">
        <v>244967</v>
      </c>
      <c r="AL508" s="158">
        <v>244967</v>
      </c>
      <c r="AM508" s="158">
        <v>3704400</v>
      </c>
      <c r="AN508" s="158">
        <v>244967</v>
      </c>
      <c r="AO508" s="158">
        <v>244967</v>
      </c>
      <c r="AP508" s="158">
        <v>244000</v>
      </c>
      <c r="AQ508" s="432">
        <v>0</v>
      </c>
      <c r="AR508" s="432">
        <v>0</v>
      </c>
      <c r="AS508" s="432">
        <v>0</v>
      </c>
      <c r="AT508" s="432">
        <v>0</v>
      </c>
      <c r="AU508" s="432">
        <v>0</v>
      </c>
      <c r="AV508" s="432">
        <v>0</v>
      </c>
      <c r="AW508" s="432">
        <v>0</v>
      </c>
      <c r="AX508" s="432">
        <v>0</v>
      </c>
      <c r="AY508" s="158">
        <v>0</v>
      </c>
      <c r="AZ508" s="158">
        <v>0</v>
      </c>
      <c r="BA508" s="158">
        <v>0</v>
      </c>
      <c r="BB508" s="158">
        <v>0</v>
      </c>
      <c r="BC508" s="158">
        <v>0</v>
      </c>
      <c r="BD508" s="158">
        <v>0</v>
      </c>
      <c r="BE508" s="158">
        <v>0</v>
      </c>
      <c r="BF508" s="160">
        <v>0</v>
      </c>
      <c r="BG508" s="383">
        <v>2023</v>
      </c>
      <c r="BH508" s="383">
        <v>1</v>
      </c>
      <c r="BI508" s="383">
        <v>19</v>
      </c>
      <c r="BK508" s="147" t="str">
        <f>IF(R508=SUM(Z508,AH508,AP508,AX508,BF508),"○","×")</f>
        <v>○</v>
      </c>
    </row>
    <row r="509" spans="1:63" x14ac:dyDescent="0.2">
      <c r="A509" s="428">
        <v>1715</v>
      </c>
      <c r="B509" s="429"/>
      <c r="C509" s="430"/>
      <c r="D509" s="429"/>
      <c r="E509" s="430"/>
      <c r="F509" s="429"/>
      <c r="G509" s="429"/>
      <c r="H509" s="430"/>
      <c r="I509" s="429"/>
      <c r="J509" s="429"/>
      <c r="K509" s="429"/>
      <c r="L509" s="383"/>
      <c r="M509" s="383" t="s">
        <v>670</v>
      </c>
      <c r="N509" s="383" t="s">
        <v>329</v>
      </c>
      <c r="O509" s="383" t="s">
        <v>671</v>
      </c>
      <c r="P509" s="383" t="s">
        <v>970</v>
      </c>
      <c r="Q509" s="383"/>
      <c r="R509" s="431">
        <v>76000</v>
      </c>
      <c r="S509" s="158">
        <v>0</v>
      </c>
      <c r="T509" s="158">
        <v>0</v>
      </c>
      <c r="U509" s="158">
        <v>0</v>
      </c>
      <c r="V509" s="158">
        <v>0</v>
      </c>
      <c r="W509" s="158">
        <v>0</v>
      </c>
      <c r="X509" s="158">
        <v>0</v>
      </c>
      <c r="Y509" s="158">
        <v>0</v>
      </c>
      <c r="Z509" s="158">
        <v>0</v>
      </c>
      <c r="AA509" s="432">
        <v>0</v>
      </c>
      <c r="AB509" s="432">
        <v>0</v>
      </c>
      <c r="AC509" s="432">
        <v>0</v>
      </c>
      <c r="AD509" s="432">
        <v>0</v>
      </c>
      <c r="AE509" s="432">
        <v>0</v>
      </c>
      <c r="AF509" s="432">
        <v>0</v>
      </c>
      <c r="AG509" s="432">
        <v>0</v>
      </c>
      <c r="AH509" s="432">
        <v>0</v>
      </c>
      <c r="AI509" s="158">
        <v>76600</v>
      </c>
      <c r="AJ509" s="158">
        <v>0</v>
      </c>
      <c r="AK509" s="158">
        <v>76600</v>
      </c>
      <c r="AL509" s="158">
        <v>76600</v>
      </c>
      <c r="AM509" s="158">
        <v>2073600</v>
      </c>
      <c r="AN509" s="158">
        <v>76600</v>
      </c>
      <c r="AO509" s="158">
        <v>76600</v>
      </c>
      <c r="AP509" s="158">
        <v>76000</v>
      </c>
      <c r="AQ509" s="432">
        <v>0</v>
      </c>
      <c r="AR509" s="432">
        <v>0</v>
      </c>
      <c r="AS509" s="432">
        <v>0</v>
      </c>
      <c r="AT509" s="432">
        <v>0</v>
      </c>
      <c r="AU509" s="432">
        <v>0</v>
      </c>
      <c r="AV509" s="432">
        <v>0</v>
      </c>
      <c r="AW509" s="432">
        <v>0</v>
      </c>
      <c r="AX509" s="432">
        <v>0</v>
      </c>
      <c r="AY509" s="158">
        <v>0</v>
      </c>
      <c r="AZ509" s="158">
        <v>0</v>
      </c>
      <c r="BA509" s="158">
        <v>0</v>
      </c>
      <c r="BB509" s="158">
        <v>0</v>
      </c>
      <c r="BC509" s="158">
        <v>0</v>
      </c>
      <c r="BD509" s="158">
        <v>0</v>
      </c>
      <c r="BE509" s="158">
        <v>0</v>
      </c>
      <c r="BF509" s="160">
        <v>0</v>
      </c>
      <c r="BG509" s="383">
        <v>2023</v>
      </c>
      <c r="BH509" s="383">
        <v>1</v>
      </c>
      <c r="BI509" s="383">
        <v>19</v>
      </c>
      <c r="BK509" s="147" t="str">
        <f>IF(R509=SUM(Z509,AH509,AP509,AX509,BF509),"○","×")</f>
        <v>○</v>
      </c>
    </row>
    <row r="510" spans="1:63" x14ac:dyDescent="0.2">
      <c r="A510" s="428">
        <v>1716</v>
      </c>
      <c r="B510" s="429"/>
      <c r="C510" s="430"/>
      <c r="D510" s="429"/>
      <c r="E510" s="430"/>
      <c r="F510" s="429"/>
      <c r="G510" s="429"/>
      <c r="H510" s="430"/>
      <c r="I510" s="429"/>
      <c r="J510" s="429"/>
      <c r="K510" s="429"/>
      <c r="L510" s="383"/>
      <c r="M510" s="383" t="s">
        <v>798</v>
      </c>
      <c r="N510" s="383" t="s">
        <v>332</v>
      </c>
      <c r="O510" s="383" t="s">
        <v>799</v>
      </c>
      <c r="P510" s="383" t="s">
        <v>970</v>
      </c>
      <c r="Q510" s="383"/>
      <c r="R510" s="431">
        <v>197000</v>
      </c>
      <c r="S510" s="158">
        <v>0</v>
      </c>
      <c r="T510" s="158">
        <v>0</v>
      </c>
      <c r="U510" s="158">
        <v>0</v>
      </c>
      <c r="V510" s="158">
        <v>0</v>
      </c>
      <c r="W510" s="158">
        <v>0</v>
      </c>
      <c r="X510" s="158">
        <v>0</v>
      </c>
      <c r="Y510" s="158">
        <v>0</v>
      </c>
      <c r="Z510" s="158">
        <v>0</v>
      </c>
      <c r="AA510" s="432">
        <v>0</v>
      </c>
      <c r="AB510" s="432">
        <v>0</v>
      </c>
      <c r="AC510" s="432">
        <v>0</v>
      </c>
      <c r="AD510" s="432">
        <v>0</v>
      </c>
      <c r="AE510" s="432">
        <v>0</v>
      </c>
      <c r="AF510" s="432">
        <v>0</v>
      </c>
      <c r="AG510" s="432">
        <v>0</v>
      </c>
      <c r="AH510" s="432">
        <v>0</v>
      </c>
      <c r="AI510" s="158">
        <v>197630</v>
      </c>
      <c r="AJ510" s="158">
        <v>0</v>
      </c>
      <c r="AK510" s="158">
        <v>197630</v>
      </c>
      <c r="AL510" s="158">
        <v>197630</v>
      </c>
      <c r="AM510" s="158">
        <v>5400000</v>
      </c>
      <c r="AN510" s="158">
        <v>197630</v>
      </c>
      <c r="AO510" s="158">
        <v>197630</v>
      </c>
      <c r="AP510" s="158">
        <v>197000</v>
      </c>
      <c r="AQ510" s="432">
        <v>0</v>
      </c>
      <c r="AR510" s="432">
        <v>0</v>
      </c>
      <c r="AS510" s="432">
        <v>0</v>
      </c>
      <c r="AT510" s="432">
        <v>0</v>
      </c>
      <c r="AU510" s="432">
        <v>0</v>
      </c>
      <c r="AV510" s="432">
        <v>0</v>
      </c>
      <c r="AW510" s="432">
        <v>0</v>
      </c>
      <c r="AX510" s="432">
        <v>0</v>
      </c>
      <c r="AY510" s="158">
        <v>0</v>
      </c>
      <c r="AZ510" s="158">
        <v>0</v>
      </c>
      <c r="BA510" s="158">
        <v>0</v>
      </c>
      <c r="BB510" s="158">
        <v>0</v>
      </c>
      <c r="BC510" s="158">
        <v>0</v>
      </c>
      <c r="BD510" s="158">
        <v>0</v>
      </c>
      <c r="BE510" s="158">
        <v>0</v>
      </c>
      <c r="BF510" s="160">
        <v>0</v>
      </c>
      <c r="BG510" s="383">
        <v>2023</v>
      </c>
      <c r="BH510" s="383">
        <v>1</v>
      </c>
      <c r="BI510" s="383">
        <v>19</v>
      </c>
      <c r="BK510" s="147" t="str">
        <f>IF(R510=SUM(Z510,AH510,AP510,AX510,BF510),"○","×")</f>
        <v>○</v>
      </c>
    </row>
    <row r="511" spans="1:63" x14ac:dyDescent="0.2">
      <c r="A511" s="428">
        <v>1717</v>
      </c>
      <c r="B511" s="429"/>
      <c r="C511" s="430"/>
      <c r="D511" s="429"/>
      <c r="E511" s="430"/>
      <c r="F511" s="429"/>
      <c r="G511" s="429"/>
      <c r="H511" s="430"/>
      <c r="I511" s="429"/>
      <c r="J511" s="429"/>
      <c r="K511" s="429"/>
      <c r="L511" s="383"/>
      <c r="M511" s="383" t="s">
        <v>383</v>
      </c>
      <c r="N511" s="383" t="s">
        <v>384</v>
      </c>
      <c r="O511" s="383" t="s">
        <v>385</v>
      </c>
      <c r="P511" s="383" t="s">
        <v>970</v>
      </c>
      <c r="Q511" s="383"/>
      <c r="R511" s="431">
        <v>299000</v>
      </c>
      <c r="S511" s="158">
        <v>0</v>
      </c>
      <c r="T511" s="158">
        <v>0</v>
      </c>
      <c r="U511" s="158">
        <v>0</v>
      </c>
      <c r="V511" s="158">
        <v>0</v>
      </c>
      <c r="W511" s="158">
        <v>0</v>
      </c>
      <c r="X511" s="158">
        <v>0</v>
      </c>
      <c r="Y511" s="158">
        <v>0</v>
      </c>
      <c r="Z511" s="158">
        <v>0</v>
      </c>
      <c r="AA511" s="432">
        <v>0</v>
      </c>
      <c r="AB511" s="432">
        <v>0</v>
      </c>
      <c r="AC511" s="432">
        <v>0</v>
      </c>
      <c r="AD511" s="432">
        <v>0</v>
      </c>
      <c r="AE511" s="432">
        <v>0</v>
      </c>
      <c r="AF511" s="432">
        <v>0</v>
      </c>
      <c r="AG511" s="432">
        <v>0</v>
      </c>
      <c r="AH511" s="432">
        <v>0</v>
      </c>
      <c r="AI511" s="158">
        <v>299990</v>
      </c>
      <c r="AJ511" s="158">
        <v>0</v>
      </c>
      <c r="AK511" s="158">
        <v>299990</v>
      </c>
      <c r="AL511" s="158">
        <v>299990</v>
      </c>
      <c r="AM511" s="158">
        <v>4176000</v>
      </c>
      <c r="AN511" s="158">
        <v>299990</v>
      </c>
      <c r="AO511" s="158">
        <v>299990</v>
      </c>
      <c r="AP511" s="158">
        <v>299000</v>
      </c>
      <c r="AQ511" s="432">
        <v>0</v>
      </c>
      <c r="AR511" s="432">
        <v>0</v>
      </c>
      <c r="AS511" s="432">
        <v>0</v>
      </c>
      <c r="AT511" s="432">
        <v>0</v>
      </c>
      <c r="AU511" s="432">
        <v>0</v>
      </c>
      <c r="AV511" s="432">
        <v>0</v>
      </c>
      <c r="AW511" s="432">
        <v>0</v>
      </c>
      <c r="AX511" s="432">
        <v>0</v>
      </c>
      <c r="AY511" s="158">
        <v>0</v>
      </c>
      <c r="AZ511" s="158">
        <v>0</v>
      </c>
      <c r="BA511" s="158">
        <v>0</v>
      </c>
      <c r="BB511" s="158">
        <v>0</v>
      </c>
      <c r="BC511" s="158">
        <v>0</v>
      </c>
      <c r="BD511" s="158">
        <v>0</v>
      </c>
      <c r="BE511" s="158">
        <v>0</v>
      </c>
      <c r="BF511" s="160">
        <v>0</v>
      </c>
      <c r="BG511" s="383">
        <v>2023</v>
      </c>
      <c r="BH511" s="383">
        <v>1</v>
      </c>
      <c r="BI511" s="383">
        <v>19</v>
      </c>
      <c r="BK511" s="147" t="str">
        <f>IF(R511=SUM(Z511,AH511,AP511,AX511,BF511),"○","×")</f>
        <v>○</v>
      </c>
    </row>
    <row r="512" spans="1:63" x14ac:dyDescent="0.2">
      <c r="A512" s="428">
        <v>1718</v>
      </c>
      <c r="B512" s="429"/>
      <c r="C512" s="430"/>
      <c r="D512" s="429"/>
      <c r="E512" s="430"/>
      <c r="F512" s="429"/>
      <c r="G512" s="429"/>
      <c r="H512" s="430"/>
      <c r="I512" s="429"/>
      <c r="J512" s="429"/>
      <c r="K512" s="429"/>
      <c r="L512" s="383"/>
      <c r="M512" s="383" t="s">
        <v>661</v>
      </c>
      <c r="N512" s="383" t="s">
        <v>340</v>
      </c>
      <c r="O512" s="383" t="s">
        <v>662</v>
      </c>
      <c r="P512" s="383" t="s">
        <v>970</v>
      </c>
      <c r="Q512" s="383"/>
      <c r="R512" s="431">
        <v>72000</v>
      </c>
      <c r="S512" s="158">
        <v>0</v>
      </c>
      <c r="T512" s="158">
        <v>0</v>
      </c>
      <c r="U512" s="158">
        <v>0</v>
      </c>
      <c r="V512" s="158">
        <v>0</v>
      </c>
      <c r="W512" s="158">
        <v>0</v>
      </c>
      <c r="X512" s="158">
        <v>0</v>
      </c>
      <c r="Y512" s="158">
        <v>0</v>
      </c>
      <c r="Z512" s="158">
        <v>0</v>
      </c>
      <c r="AA512" s="432">
        <v>0</v>
      </c>
      <c r="AB512" s="432">
        <v>0</v>
      </c>
      <c r="AC512" s="432">
        <v>0</v>
      </c>
      <c r="AD512" s="432">
        <v>0</v>
      </c>
      <c r="AE512" s="432">
        <v>0</v>
      </c>
      <c r="AF512" s="432">
        <v>0</v>
      </c>
      <c r="AG512" s="432">
        <v>0</v>
      </c>
      <c r="AH512" s="432">
        <v>0</v>
      </c>
      <c r="AI512" s="158">
        <v>72996</v>
      </c>
      <c r="AJ512" s="158">
        <v>0</v>
      </c>
      <c r="AK512" s="158">
        <v>72996</v>
      </c>
      <c r="AL512" s="158">
        <v>72996</v>
      </c>
      <c r="AM512" s="158">
        <v>1317600</v>
      </c>
      <c r="AN512" s="158">
        <v>72996</v>
      </c>
      <c r="AO512" s="158">
        <v>72996</v>
      </c>
      <c r="AP512" s="158">
        <v>72000</v>
      </c>
      <c r="AQ512" s="432">
        <v>0</v>
      </c>
      <c r="AR512" s="432">
        <v>0</v>
      </c>
      <c r="AS512" s="432">
        <v>0</v>
      </c>
      <c r="AT512" s="432">
        <v>0</v>
      </c>
      <c r="AU512" s="432">
        <v>0</v>
      </c>
      <c r="AV512" s="432">
        <v>0</v>
      </c>
      <c r="AW512" s="432">
        <v>0</v>
      </c>
      <c r="AX512" s="432">
        <v>0</v>
      </c>
      <c r="AY512" s="158">
        <v>0</v>
      </c>
      <c r="AZ512" s="158">
        <v>0</v>
      </c>
      <c r="BA512" s="158">
        <v>0</v>
      </c>
      <c r="BB512" s="158">
        <v>0</v>
      </c>
      <c r="BC512" s="158">
        <v>0</v>
      </c>
      <c r="BD512" s="158">
        <v>0</v>
      </c>
      <c r="BE512" s="158">
        <v>0</v>
      </c>
      <c r="BF512" s="160">
        <v>0</v>
      </c>
      <c r="BG512" s="383">
        <v>2023</v>
      </c>
      <c r="BH512" s="383">
        <v>1</v>
      </c>
      <c r="BI512" s="383">
        <v>19</v>
      </c>
      <c r="BK512" s="147" t="str">
        <f>IF(R512=SUM(Z512,AH512,AP512,AX512,BF512),"○","×")</f>
        <v>○</v>
      </c>
    </row>
    <row r="513" spans="1:63" x14ac:dyDescent="0.2">
      <c r="A513" s="428">
        <v>1719</v>
      </c>
      <c r="B513" s="429"/>
      <c r="C513" s="430"/>
      <c r="D513" s="429"/>
      <c r="E513" s="430"/>
      <c r="F513" s="429"/>
      <c r="G513" s="429"/>
      <c r="H513" s="430"/>
      <c r="I513" s="429"/>
      <c r="J513" s="429"/>
      <c r="K513" s="429"/>
      <c r="L513" s="383"/>
      <c r="M513" s="383" t="s">
        <v>519</v>
      </c>
      <c r="N513" s="383" t="s">
        <v>323</v>
      </c>
      <c r="O513" s="383" t="s">
        <v>520</v>
      </c>
      <c r="P513" s="383" t="s">
        <v>970</v>
      </c>
      <c r="Q513" s="383"/>
      <c r="R513" s="431">
        <v>193000</v>
      </c>
      <c r="S513" s="158">
        <v>0</v>
      </c>
      <c r="T513" s="158">
        <v>0</v>
      </c>
      <c r="U513" s="158">
        <v>0</v>
      </c>
      <c r="V513" s="158">
        <v>0</v>
      </c>
      <c r="W513" s="158">
        <v>0</v>
      </c>
      <c r="X513" s="158">
        <v>0</v>
      </c>
      <c r="Y513" s="158">
        <v>0</v>
      </c>
      <c r="Z513" s="158">
        <v>0</v>
      </c>
      <c r="AA513" s="432">
        <v>0</v>
      </c>
      <c r="AB513" s="432">
        <v>0</v>
      </c>
      <c r="AC513" s="432">
        <v>0</v>
      </c>
      <c r="AD513" s="432">
        <v>0</v>
      </c>
      <c r="AE513" s="432">
        <v>0</v>
      </c>
      <c r="AF513" s="432">
        <v>0</v>
      </c>
      <c r="AG513" s="432">
        <v>0</v>
      </c>
      <c r="AH513" s="432">
        <v>0</v>
      </c>
      <c r="AI513" s="158">
        <v>193600</v>
      </c>
      <c r="AJ513" s="158">
        <v>0</v>
      </c>
      <c r="AK513" s="158">
        <v>193600</v>
      </c>
      <c r="AL513" s="158">
        <v>193600</v>
      </c>
      <c r="AM513" s="158">
        <v>1274400</v>
      </c>
      <c r="AN513" s="158">
        <v>193600</v>
      </c>
      <c r="AO513" s="158">
        <v>193600</v>
      </c>
      <c r="AP513" s="158">
        <v>193000</v>
      </c>
      <c r="AQ513" s="432">
        <v>0</v>
      </c>
      <c r="AR513" s="432">
        <v>0</v>
      </c>
      <c r="AS513" s="432">
        <v>0</v>
      </c>
      <c r="AT513" s="432">
        <v>0</v>
      </c>
      <c r="AU513" s="432">
        <v>0</v>
      </c>
      <c r="AV513" s="432">
        <v>0</v>
      </c>
      <c r="AW513" s="432">
        <v>0</v>
      </c>
      <c r="AX513" s="432">
        <v>0</v>
      </c>
      <c r="AY513" s="158">
        <v>0</v>
      </c>
      <c r="AZ513" s="158">
        <v>0</v>
      </c>
      <c r="BA513" s="158">
        <v>0</v>
      </c>
      <c r="BB513" s="158">
        <v>0</v>
      </c>
      <c r="BC513" s="158">
        <v>0</v>
      </c>
      <c r="BD513" s="158">
        <v>0</v>
      </c>
      <c r="BE513" s="158">
        <v>0</v>
      </c>
      <c r="BF513" s="160">
        <v>0</v>
      </c>
      <c r="BG513" s="383">
        <v>2023</v>
      </c>
      <c r="BH513" s="383">
        <v>1</v>
      </c>
      <c r="BI513" s="383">
        <v>19</v>
      </c>
      <c r="BK513" s="147" t="str">
        <f>IF(R513=SUM(Z513,AH513,AP513,AX513,BF513),"○","×")</f>
        <v>○</v>
      </c>
    </row>
    <row r="514" spans="1:63" x14ac:dyDescent="0.2">
      <c r="A514" s="428">
        <v>1720</v>
      </c>
      <c r="B514" s="429"/>
      <c r="C514" s="430"/>
      <c r="D514" s="429"/>
      <c r="E514" s="430"/>
      <c r="F514" s="429"/>
      <c r="G514" s="429"/>
      <c r="H514" s="430"/>
      <c r="I514" s="429"/>
      <c r="J514" s="429"/>
      <c r="K514" s="429"/>
      <c r="L514" s="383"/>
      <c r="M514" s="383" t="s">
        <v>729</v>
      </c>
      <c r="N514" s="383" t="s">
        <v>427</v>
      </c>
      <c r="O514" s="383" t="s">
        <v>730</v>
      </c>
      <c r="P514" s="383" t="s">
        <v>970</v>
      </c>
      <c r="Q514" s="383"/>
      <c r="R514" s="431">
        <v>799000</v>
      </c>
      <c r="S514" s="158">
        <v>0</v>
      </c>
      <c r="T514" s="158">
        <v>0</v>
      </c>
      <c r="U514" s="158">
        <v>0</v>
      </c>
      <c r="V514" s="158">
        <v>0</v>
      </c>
      <c r="W514" s="158">
        <v>0</v>
      </c>
      <c r="X514" s="158">
        <v>0</v>
      </c>
      <c r="Y514" s="158">
        <v>0</v>
      </c>
      <c r="Z514" s="158">
        <v>0</v>
      </c>
      <c r="AA514" s="432">
        <v>0</v>
      </c>
      <c r="AB514" s="432">
        <v>0</v>
      </c>
      <c r="AC514" s="432">
        <v>0</v>
      </c>
      <c r="AD514" s="432">
        <v>0</v>
      </c>
      <c r="AE514" s="432">
        <v>0</v>
      </c>
      <c r="AF514" s="432">
        <v>0</v>
      </c>
      <c r="AG514" s="432">
        <v>0</v>
      </c>
      <c r="AH514" s="432">
        <v>0</v>
      </c>
      <c r="AI514" s="158">
        <v>799555</v>
      </c>
      <c r="AJ514" s="158">
        <v>0</v>
      </c>
      <c r="AK514" s="158">
        <v>799555</v>
      </c>
      <c r="AL514" s="158">
        <v>799555</v>
      </c>
      <c r="AM514" s="158">
        <v>1598400</v>
      </c>
      <c r="AN514" s="158">
        <v>799555</v>
      </c>
      <c r="AO514" s="158">
        <v>799555</v>
      </c>
      <c r="AP514" s="158">
        <v>799000</v>
      </c>
      <c r="AQ514" s="432">
        <v>0</v>
      </c>
      <c r="AR514" s="432">
        <v>0</v>
      </c>
      <c r="AS514" s="432">
        <v>0</v>
      </c>
      <c r="AT514" s="432">
        <v>0</v>
      </c>
      <c r="AU514" s="432">
        <v>0</v>
      </c>
      <c r="AV514" s="432">
        <v>0</v>
      </c>
      <c r="AW514" s="432">
        <v>0</v>
      </c>
      <c r="AX514" s="432">
        <v>0</v>
      </c>
      <c r="AY514" s="158">
        <v>0</v>
      </c>
      <c r="AZ514" s="158">
        <v>0</v>
      </c>
      <c r="BA514" s="158">
        <v>0</v>
      </c>
      <c r="BB514" s="158">
        <v>0</v>
      </c>
      <c r="BC514" s="158">
        <v>0</v>
      </c>
      <c r="BD514" s="158">
        <v>0</v>
      </c>
      <c r="BE514" s="158">
        <v>0</v>
      </c>
      <c r="BF514" s="160">
        <v>0</v>
      </c>
      <c r="BG514" s="383">
        <v>2023</v>
      </c>
      <c r="BH514" s="383">
        <v>1</v>
      </c>
      <c r="BI514" s="383">
        <v>19</v>
      </c>
      <c r="BK514" s="147" t="str">
        <f>IF(R514=SUM(Z514,AH514,AP514,AX514,BF514),"○","×")</f>
        <v>○</v>
      </c>
    </row>
    <row r="515" spans="1:63" x14ac:dyDescent="0.2">
      <c r="A515" s="428">
        <v>1721</v>
      </c>
      <c r="B515" s="429"/>
      <c r="C515" s="430"/>
      <c r="D515" s="429"/>
      <c r="E515" s="430"/>
      <c r="F515" s="429"/>
      <c r="G515" s="429"/>
      <c r="H515" s="430"/>
      <c r="I515" s="429"/>
      <c r="J515" s="429"/>
      <c r="K515" s="429"/>
      <c r="L515" s="383"/>
      <c r="M515" s="383" t="s">
        <v>529</v>
      </c>
      <c r="N515" s="383" t="s">
        <v>329</v>
      </c>
      <c r="O515" s="383" t="s">
        <v>530</v>
      </c>
      <c r="P515" s="383" t="s">
        <v>970</v>
      </c>
      <c r="Q515" s="383"/>
      <c r="R515" s="431">
        <v>177000</v>
      </c>
      <c r="S515" s="158">
        <v>0</v>
      </c>
      <c r="T515" s="158">
        <v>0</v>
      </c>
      <c r="U515" s="158">
        <v>0</v>
      </c>
      <c r="V515" s="158">
        <v>0</v>
      </c>
      <c r="W515" s="158">
        <v>0</v>
      </c>
      <c r="X515" s="158">
        <v>0</v>
      </c>
      <c r="Y515" s="158">
        <v>0</v>
      </c>
      <c r="Z515" s="158">
        <v>0</v>
      </c>
      <c r="AA515" s="432">
        <v>0</v>
      </c>
      <c r="AB515" s="432">
        <v>0</v>
      </c>
      <c r="AC515" s="432">
        <v>0</v>
      </c>
      <c r="AD515" s="432">
        <v>0</v>
      </c>
      <c r="AE515" s="432">
        <v>0</v>
      </c>
      <c r="AF515" s="432">
        <v>0</v>
      </c>
      <c r="AG515" s="432">
        <v>0</v>
      </c>
      <c r="AH515" s="432">
        <v>0</v>
      </c>
      <c r="AI515" s="158">
        <v>177676</v>
      </c>
      <c r="AJ515" s="158">
        <v>0</v>
      </c>
      <c r="AK515" s="158">
        <v>177676</v>
      </c>
      <c r="AL515" s="158">
        <v>177676</v>
      </c>
      <c r="AM515" s="158">
        <v>2628000</v>
      </c>
      <c r="AN515" s="158">
        <v>177676</v>
      </c>
      <c r="AO515" s="158">
        <v>177676</v>
      </c>
      <c r="AP515" s="158">
        <v>177000</v>
      </c>
      <c r="AQ515" s="432">
        <v>0</v>
      </c>
      <c r="AR515" s="432">
        <v>0</v>
      </c>
      <c r="AS515" s="432">
        <v>0</v>
      </c>
      <c r="AT515" s="432">
        <v>0</v>
      </c>
      <c r="AU515" s="432">
        <v>0</v>
      </c>
      <c r="AV515" s="432">
        <v>0</v>
      </c>
      <c r="AW515" s="432">
        <v>0</v>
      </c>
      <c r="AX515" s="432">
        <v>0</v>
      </c>
      <c r="AY515" s="158">
        <v>0</v>
      </c>
      <c r="AZ515" s="158">
        <v>0</v>
      </c>
      <c r="BA515" s="158">
        <v>0</v>
      </c>
      <c r="BB515" s="158">
        <v>0</v>
      </c>
      <c r="BC515" s="158">
        <v>0</v>
      </c>
      <c r="BD515" s="158">
        <v>0</v>
      </c>
      <c r="BE515" s="158">
        <v>0</v>
      </c>
      <c r="BF515" s="160">
        <v>0</v>
      </c>
      <c r="BG515" s="383">
        <v>2023</v>
      </c>
      <c r="BH515" s="383">
        <v>1</v>
      </c>
      <c r="BI515" s="383">
        <v>19</v>
      </c>
      <c r="BK515" s="147" t="str">
        <f>IF(R515=SUM(Z515,AH515,AP515,AX515,BF515),"○","×")</f>
        <v>○</v>
      </c>
    </row>
    <row r="516" spans="1:63" x14ac:dyDescent="0.2">
      <c r="A516" s="428">
        <v>1722</v>
      </c>
      <c r="B516" s="429"/>
      <c r="C516" s="430"/>
      <c r="D516" s="429"/>
      <c r="E516" s="430"/>
      <c r="F516" s="429"/>
      <c r="G516" s="429"/>
      <c r="H516" s="430"/>
      <c r="I516" s="429"/>
      <c r="J516" s="429"/>
      <c r="K516" s="429"/>
      <c r="L516" s="383"/>
      <c r="M516" s="383" t="s">
        <v>898</v>
      </c>
      <c r="N516" s="383" t="s">
        <v>367</v>
      </c>
      <c r="O516" s="383" t="s">
        <v>706</v>
      </c>
      <c r="P516" s="383" t="s">
        <v>970</v>
      </c>
      <c r="Q516" s="383"/>
      <c r="R516" s="431">
        <v>68000</v>
      </c>
      <c r="S516" s="158">
        <v>0</v>
      </c>
      <c r="T516" s="158">
        <v>0</v>
      </c>
      <c r="U516" s="158">
        <v>0</v>
      </c>
      <c r="V516" s="158">
        <v>0</v>
      </c>
      <c r="W516" s="158">
        <v>0</v>
      </c>
      <c r="X516" s="158">
        <v>0</v>
      </c>
      <c r="Y516" s="158">
        <v>0</v>
      </c>
      <c r="Z516" s="158">
        <v>0</v>
      </c>
      <c r="AA516" s="432">
        <v>0</v>
      </c>
      <c r="AB516" s="432">
        <v>0</v>
      </c>
      <c r="AC516" s="432">
        <v>0</v>
      </c>
      <c r="AD516" s="432">
        <v>0</v>
      </c>
      <c r="AE516" s="432">
        <v>0</v>
      </c>
      <c r="AF516" s="432">
        <v>0</v>
      </c>
      <c r="AG516" s="432">
        <v>0</v>
      </c>
      <c r="AH516" s="432">
        <v>0</v>
      </c>
      <c r="AI516" s="158">
        <v>68785</v>
      </c>
      <c r="AJ516" s="158">
        <v>0</v>
      </c>
      <c r="AK516" s="158">
        <v>68785</v>
      </c>
      <c r="AL516" s="158">
        <v>68785</v>
      </c>
      <c r="AM516" s="158">
        <v>10173600</v>
      </c>
      <c r="AN516" s="158">
        <v>68785</v>
      </c>
      <c r="AO516" s="158">
        <v>68785</v>
      </c>
      <c r="AP516" s="158">
        <v>68000</v>
      </c>
      <c r="AQ516" s="432">
        <v>0</v>
      </c>
      <c r="AR516" s="432">
        <v>0</v>
      </c>
      <c r="AS516" s="432">
        <v>0</v>
      </c>
      <c r="AT516" s="432">
        <v>0</v>
      </c>
      <c r="AU516" s="432">
        <v>0</v>
      </c>
      <c r="AV516" s="432">
        <v>0</v>
      </c>
      <c r="AW516" s="432">
        <v>0</v>
      </c>
      <c r="AX516" s="432">
        <v>0</v>
      </c>
      <c r="AY516" s="158">
        <v>0</v>
      </c>
      <c r="AZ516" s="158">
        <v>0</v>
      </c>
      <c r="BA516" s="158">
        <v>0</v>
      </c>
      <c r="BB516" s="158">
        <v>0</v>
      </c>
      <c r="BC516" s="158">
        <v>0</v>
      </c>
      <c r="BD516" s="158">
        <v>0</v>
      </c>
      <c r="BE516" s="158">
        <v>0</v>
      </c>
      <c r="BF516" s="160">
        <v>0</v>
      </c>
      <c r="BG516" s="383">
        <v>2023</v>
      </c>
      <c r="BH516" s="383">
        <v>1</v>
      </c>
      <c r="BI516" s="383">
        <v>19</v>
      </c>
      <c r="BK516" s="147" t="str">
        <f>IF(R516=SUM(Z516,AH516,AP516,AX516,BF516),"○","×")</f>
        <v>○</v>
      </c>
    </row>
    <row r="517" spans="1:63" x14ac:dyDescent="0.2">
      <c r="A517" s="428">
        <v>1723</v>
      </c>
      <c r="B517" s="429"/>
      <c r="C517" s="430"/>
      <c r="D517" s="429"/>
      <c r="E517" s="430"/>
      <c r="F517" s="429"/>
      <c r="G517" s="429"/>
      <c r="H517" s="430"/>
      <c r="I517" s="429"/>
      <c r="J517" s="429"/>
      <c r="K517" s="429"/>
      <c r="L517" s="383"/>
      <c r="M517" s="383" t="s">
        <v>664</v>
      </c>
      <c r="N517" s="383" t="s">
        <v>323</v>
      </c>
      <c r="O517" s="383" t="s">
        <v>530</v>
      </c>
      <c r="P517" s="383" t="s">
        <v>970</v>
      </c>
      <c r="Q517" s="383"/>
      <c r="R517" s="431">
        <v>219000</v>
      </c>
      <c r="S517" s="158">
        <v>0</v>
      </c>
      <c r="T517" s="158">
        <v>0</v>
      </c>
      <c r="U517" s="158">
        <v>0</v>
      </c>
      <c r="V517" s="158">
        <v>0</v>
      </c>
      <c r="W517" s="158">
        <v>0</v>
      </c>
      <c r="X517" s="158">
        <v>0</v>
      </c>
      <c r="Y517" s="158">
        <v>0</v>
      </c>
      <c r="Z517" s="158">
        <v>0</v>
      </c>
      <c r="AA517" s="432">
        <v>0</v>
      </c>
      <c r="AB517" s="432">
        <v>0</v>
      </c>
      <c r="AC517" s="432">
        <v>0</v>
      </c>
      <c r="AD517" s="432">
        <v>0</v>
      </c>
      <c r="AE517" s="432">
        <v>0</v>
      </c>
      <c r="AF517" s="432">
        <v>0</v>
      </c>
      <c r="AG517" s="432">
        <v>0</v>
      </c>
      <c r="AH517" s="432">
        <v>0</v>
      </c>
      <c r="AI517" s="158">
        <v>219780</v>
      </c>
      <c r="AJ517" s="158">
        <v>0</v>
      </c>
      <c r="AK517" s="158">
        <v>219780</v>
      </c>
      <c r="AL517" s="158">
        <v>219780</v>
      </c>
      <c r="AM517" s="158">
        <v>1742400</v>
      </c>
      <c r="AN517" s="158">
        <v>219780</v>
      </c>
      <c r="AO517" s="158">
        <v>219780</v>
      </c>
      <c r="AP517" s="158">
        <v>219000</v>
      </c>
      <c r="AQ517" s="432">
        <v>0</v>
      </c>
      <c r="AR517" s="432">
        <v>0</v>
      </c>
      <c r="AS517" s="432">
        <v>0</v>
      </c>
      <c r="AT517" s="432">
        <v>0</v>
      </c>
      <c r="AU517" s="432">
        <v>0</v>
      </c>
      <c r="AV517" s="432">
        <v>0</v>
      </c>
      <c r="AW517" s="432">
        <v>0</v>
      </c>
      <c r="AX517" s="432">
        <v>0</v>
      </c>
      <c r="AY517" s="158">
        <v>0</v>
      </c>
      <c r="AZ517" s="158">
        <v>0</v>
      </c>
      <c r="BA517" s="158">
        <v>0</v>
      </c>
      <c r="BB517" s="158">
        <v>0</v>
      </c>
      <c r="BC517" s="158">
        <v>0</v>
      </c>
      <c r="BD517" s="158">
        <v>0</v>
      </c>
      <c r="BE517" s="158">
        <v>0</v>
      </c>
      <c r="BF517" s="160">
        <v>0</v>
      </c>
      <c r="BG517" s="383">
        <v>2023</v>
      </c>
      <c r="BH517" s="383">
        <v>1</v>
      </c>
      <c r="BI517" s="383">
        <v>19</v>
      </c>
      <c r="BK517" s="147" t="str">
        <f>IF(R517=SUM(Z517,AH517,AP517,AX517,BF517),"○","×")</f>
        <v>○</v>
      </c>
    </row>
    <row r="518" spans="1:63" x14ac:dyDescent="0.2">
      <c r="A518" s="428">
        <v>1724</v>
      </c>
      <c r="B518" s="429"/>
      <c r="C518" s="430"/>
      <c r="D518" s="429"/>
      <c r="E518" s="430"/>
      <c r="F518" s="429"/>
      <c r="G518" s="429"/>
      <c r="H518" s="430"/>
      <c r="I518" s="429"/>
      <c r="J518" s="429"/>
      <c r="K518" s="429"/>
      <c r="L518" s="383"/>
      <c r="M518" s="383" t="s">
        <v>899</v>
      </c>
      <c r="N518" s="383" t="s">
        <v>360</v>
      </c>
      <c r="O518" s="383" t="s">
        <v>561</v>
      </c>
      <c r="P518" s="383" t="s">
        <v>970</v>
      </c>
      <c r="Q518" s="383"/>
      <c r="R518" s="431">
        <v>82000</v>
      </c>
      <c r="S518" s="158">
        <v>0</v>
      </c>
      <c r="T518" s="158">
        <v>0</v>
      </c>
      <c r="U518" s="158">
        <v>0</v>
      </c>
      <c r="V518" s="158">
        <v>0</v>
      </c>
      <c r="W518" s="158">
        <v>0</v>
      </c>
      <c r="X518" s="158">
        <v>0</v>
      </c>
      <c r="Y518" s="158">
        <v>0</v>
      </c>
      <c r="Z518" s="158">
        <v>0</v>
      </c>
      <c r="AA518" s="432">
        <v>0</v>
      </c>
      <c r="AB518" s="432">
        <v>0</v>
      </c>
      <c r="AC518" s="432">
        <v>0</v>
      </c>
      <c r="AD518" s="432">
        <v>0</v>
      </c>
      <c r="AE518" s="432">
        <v>0</v>
      </c>
      <c r="AF518" s="432">
        <v>0</v>
      </c>
      <c r="AG518" s="432">
        <v>0</v>
      </c>
      <c r="AH518" s="432">
        <v>0</v>
      </c>
      <c r="AI518" s="158">
        <v>82560</v>
      </c>
      <c r="AJ518" s="158">
        <v>0</v>
      </c>
      <c r="AK518" s="158">
        <v>82560</v>
      </c>
      <c r="AL518" s="158">
        <v>82560</v>
      </c>
      <c r="AM518" s="158">
        <v>2052000</v>
      </c>
      <c r="AN518" s="158">
        <v>82560</v>
      </c>
      <c r="AO518" s="158">
        <v>82560</v>
      </c>
      <c r="AP518" s="158">
        <v>82000</v>
      </c>
      <c r="AQ518" s="432">
        <v>0</v>
      </c>
      <c r="AR518" s="432">
        <v>0</v>
      </c>
      <c r="AS518" s="432">
        <v>0</v>
      </c>
      <c r="AT518" s="432">
        <v>0</v>
      </c>
      <c r="AU518" s="432">
        <v>0</v>
      </c>
      <c r="AV518" s="432">
        <v>0</v>
      </c>
      <c r="AW518" s="432">
        <v>0</v>
      </c>
      <c r="AX518" s="432">
        <v>0</v>
      </c>
      <c r="AY518" s="158">
        <v>0</v>
      </c>
      <c r="AZ518" s="158">
        <v>0</v>
      </c>
      <c r="BA518" s="158">
        <v>0</v>
      </c>
      <c r="BB518" s="158">
        <v>0</v>
      </c>
      <c r="BC518" s="158">
        <v>0</v>
      </c>
      <c r="BD518" s="158">
        <v>0</v>
      </c>
      <c r="BE518" s="158">
        <v>0</v>
      </c>
      <c r="BF518" s="160">
        <v>0</v>
      </c>
      <c r="BG518" s="383">
        <v>2023</v>
      </c>
      <c r="BH518" s="383">
        <v>1</v>
      </c>
      <c r="BI518" s="383">
        <v>19</v>
      </c>
      <c r="BK518" s="147" t="str">
        <f>IF(R518=SUM(Z518,AH518,AP518,AX518,BF518),"○","×")</f>
        <v>○</v>
      </c>
    </row>
    <row r="519" spans="1:63" x14ac:dyDescent="0.2">
      <c r="A519" s="428">
        <v>1725</v>
      </c>
      <c r="B519" s="429"/>
      <c r="C519" s="430"/>
      <c r="D519" s="429"/>
      <c r="E519" s="430"/>
      <c r="F519" s="429"/>
      <c r="G519" s="429"/>
      <c r="H519" s="430"/>
      <c r="I519" s="429"/>
      <c r="J519" s="429"/>
      <c r="K519" s="429"/>
      <c r="L519" s="383"/>
      <c r="M519" s="383" t="s">
        <v>900</v>
      </c>
      <c r="N519" s="383" t="s">
        <v>408</v>
      </c>
      <c r="O519" s="383" t="s">
        <v>559</v>
      </c>
      <c r="P519" s="383" t="s">
        <v>970</v>
      </c>
      <c r="Q519" s="383"/>
      <c r="R519" s="431">
        <v>408000</v>
      </c>
      <c r="S519" s="158">
        <v>0</v>
      </c>
      <c r="T519" s="158">
        <v>0</v>
      </c>
      <c r="U519" s="158">
        <v>0</v>
      </c>
      <c r="V519" s="158">
        <v>0</v>
      </c>
      <c r="W519" s="158">
        <v>0</v>
      </c>
      <c r="X519" s="158">
        <v>0</v>
      </c>
      <c r="Y519" s="158">
        <v>0</v>
      </c>
      <c r="Z519" s="158">
        <v>0</v>
      </c>
      <c r="AA519" s="432">
        <v>0</v>
      </c>
      <c r="AB519" s="432">
        <v>0</v>
      </c>
      <c r="AC519" s="432">
        <v>0</v>
      </c>
      <c r="AD519" s="432">
        <v>0</v>
      </c>
      <c r="AE519" s="432">
        <v>0</v>
      </c>
      <c r="AF519" s="432">
        <v>0</v>
      </c>
      <c r="AG519" s="432">
        <v>0</v>
      </c>
      <c r="AH519" s="432">
        <v>0</v>
      </c>
      <c r="AI519" s="158">
        <v>408650</v>
      </c>
      <c r="AJ519" s="158">
        <v>0</v>
      </c>
      <c r="AK519" s="158">
        <v>408650</v>
      </c>
      <c r="AL519" s="158">
        <v>408650</v>
      </c>
      <c r="AM519" s="158">
        <v>2178000</v>
      </c>
      <c r="AN519" s="158">
        <v>408650</v>
      </c>
      <c r="AO519" s="158">
        <v>408650</v>
      </c>
      <c r="AP519" s="158">
        <v>408000</v>
      </c>
      <c r="AQ519" s="432">
        <v>0</v>
      </c>
      <c r="AR519" s="432">
        <v>0</v>
      </c>
      <c r="AS519" s="432">
        <v>0</v>
      </c>
      <c r="AT519" s="432">
        <v>0</v>
      </c>
      <c r="AU519" s="432">
        <v>0</v>
      </c>
      <c r="AV519" s="432">
        <v>0</v>
      </c>
      <c r="AW519" s="432">
        <v>0</v>
      </c>
      <c r="AX519" s="432">
        <v>0</v>
      </c>
      <c r="AY519" s="158">
        <v>0</v>
      </c>
      <c r="AZ519" s="158">
        <v>0</v>
      </c>
      <c r="BA519" s="158">
        <v>0</v>
      </c>
      <c r="BB519" s="158">
        <v>0</v>
      </c>
      <c r="BC519" s="158">
        <v>0</v>
      </c>
      <c r="BD519" s="158">
        <v>0</v>
      </c>
      <c r="BE519" s="158">
        <v>0</v>
      </c>
      <c r="BF519" s="160">
        <v>0</v>
      </c>
      <c r="BG519" s="383">
        <v>2023</v>
      </c>
      <c r="BH519" s="383">
        <v>1</v>
      </c>
      <c r="BI519" s="383">
        <v>19</v>
      </c>
      <c r="BK519" s="147" t="str">
        <f>IF(R519=SUM(Z519,AH519,AP519,AX519,BF519),"○","×")</f>
        <v>○</v>
      </c>
    </row>
    <row r="520" spans="1:63" x14ac:dyDescent="0.2">
      <c r="A520" s="428">
        <v>1726</v>
      </c>
      <c r="B520" s="429"/>
      <c r="C520" s="430"/>
      <c r="D520" s="429"/>
      <c r="E520" s="430"/>
      <c r="F520" s="429"/>
      <c r="G520" s="429"/>
      <c r="H520" s="430"/>
      <c r="I520" s="429"/>
      <c r="J520" s="429"/>
      <c r="K520" s="429"/>
      <c r="L520" s="383"/>
      <c r="M520" s="383" t="s">
        <v>901</v>
      </c>
      <c r="N520" s="383" t="s">
        <v>340</v>
      </c>
      <c r="O520" s="383" t="s">
        <v>336</v>
      </c>
      <c r="P520" s="383" t="s">
        <v>970</v>
      </c>
      <c r="Q520" s="383"/>
      <c r="R520" s="431">
        <v>108000</v>
      </c>
      <c r="S520" s="158">
        <v>0</v>
      </c>
      <c r="T520" s="158">
        <v>0</v>
      </c>
      <c r="U520" s="158">
        <v>0</v>
      </c>
      <c r="V520" s="158">
        <v>0</v>
      </c>
      <c r="W520" s="158">
        <v>0</v>
      </c>
      <c r="X520" s="158">
        <v>0</v>
      </c>
      <c r="Y520" s="158">
        <v>0</v>
      </c>
      <c r="Z520" s="158">
        <v>0</v>
      </c>
      <c r="AA520" s="432">
        <v>0</v>
      </c>
      <c r="AB520" s="432">
        <v>0</v>
      </c>
      <c r="AC520" s="432">
        <v>0</v>
      </c>
      <c r="AD520" s="432">
        <v>0</v>
      </c>
      <c r="AE520" s="432">
        <v>0</v>
      </c>
      <c r="AF520" s="432">
        <v>0</v>
      </c>
      <c r="AG520" s="432">
        <v>0</v>
      </c>
      <c r="AH520" s="432">
        <v>0</v>
      </c>
      <c r="AI520" s="158">
        <v>108810</v>
      </c>
      <c r="AJ520" s="158">
        <v>0</v>
      </c>
      <c r="AK520" s="158">
        <v>108810</v>
      </c>
      <c r="AL520" s="158">
        <v>108810</v>
      </c>
      <c r="AM520" s="158">
        <v>1296000</v>
      </c>
      <c r="AN520" s="158">
        <v>108810</v>
      </c>
      <c r="AO520" s="158">
        <v>108810</v>
      </c>
      <c r="AP520" s="158">
        <v>108000</v>
      </c>
      <c r="AQ520" s="432">
        <v>0</v>
      </c>
      <c r="AR520" s="432">
        <v>0</v>
      </c>
      <c r="AS520" s="432">
        <v>0</v>
      </c>
      <c r="AT520" s="432">
        <v>0</v>
      </c>
      <c r="AU520" s="432">
        <v>0</v>
      </c>
      <c r="AV520" s="432">
        <v>0</v>
      </c>
      <c r="AW520" s="432">
        <v>0</v>
      </c>
      <c r="AX520" s="432">
        <v>0</v>
      </c>
      <c r="AY520" s="158">
        <v>0</v>
      </c>
      <c r="AZ520" s="158">
        <v>0</v>
      </c>
      <c r="BA520" s="158">
        <v>0</v>
      </c>
      <c r="BB520" s="158">
        <v>0</v>
      </c>
      <c r="BC520" s="158">
        <v>0</v>
      </c>
      <c r="BD520" s="158">
        <v>0</v>
      </c>
      <c r="BE520" s="158">
        <v>0</v>
      </c>
      <c r="BF520" s="160">
        <v>0</v>
      </c>
      <c r="BG520" s="383">
        <v>2023</v>
      </c>
      <c r="BH520" s="383">
        <v>1</v>
      </c>
      <c r="BI520" s="383">
        <v>19</v>
      </c>
      <c r="BK520" s="147" t="str">
        <f>IF(R520=SUM(Z520,AH520,AP520,AX520,BF520),"○","×")</f>
        <v>○</v>
      </c>
    </row>
    <row r="521" spans="1:63" x14ac:dyDescent="0.2">
      <c r="A521" s="428">
        <v>1727</v>
      </c>
      <c r="B521" s="429"/>
      <c r="C521" s="430"/>
      <c r="D521" s="429"/>
      <c r="E521" s="430"/>
      <c r="F521" s="429"/>
      <c r="G521" s="429"/>
      <c r="H521" s="430"/>
      <c r="I521" s="429"/>
      <c r="J521" s="429"/>
      <c r="K521" s="429"/>
      <c r="L521" s="383"/>
      <c r="M521" s="383" t="s">
        <v>902</v>
      </c>
      <c r="N521" s="383" t="s">
        <v>326</v>
      </c>
      <c r="O521" s="383" t="s">
        <v>802</v>
      </c>
      <c r="P521" s="383" t="s">
        <v>970</v>
      </c>
      <c r="Q521" s="146"/>
      <c r="R521" s="431">
        <v>853000</v>
      </c>
      <c r="S521" s="158">
        <v>0</v>
      </c>
      <c r="T521" s="158">
        <v>0</v>
      </c>
      <c r="U521" s="158">
        <v>0</v>
      </c>
      <c r="V521" s="158">
        <v>0</v>
      </c>
      <c r="W521" s="158">
        <v>0</v>
      </c>
      <c r="X521" s="158">
        <v>0</v>
      </c>
      <c r="Y521" s="158">
        <v>0</v>
      </c>
      <c r="Z521" s="158">
        <v>0</v>
      </c>
      <c r="AA521" s="432">
        <v>0</v>
      </c>
      <c r="AB521" s="432">
        <v>0</v>
      </c>
      <c r="AC521" s="432">
        <v>0</v>
      </c>
      <c r="AD521" s="432">
        <v>0</v>
      </c>
      <c r="AE521" s="432">
        <v>0</v>
      </c>
      <c r="AF521" s="432">
        <v>0</v>
      </c>
      <c r="AG521" s="432">
        <v>0</v>
      </c>
      <c r="AH521" s="432">
        <v>0</v>
      </c>
      <c r="AI521" s="158">
        <v>853652</v>
      </c>
      <c r="AJ521" s="158">
        <v>0</v>
      </c>
      <c r="AK521" s="158">
        <v>853652</v>
      </c>
      <c r="AL521" s="158">
        <v>853652</v>
      </c>
      <c r="AM521" s="158">
        <v>2592000</v>
      </c>
      <c r="AN521" s="158">
        <v>853652</v>
      </c>
      <c r="AO521" s="158">
        <v>853652</v>
      </c>
      <c r="AP521" s="158">
        <v>853000</v>
      </c>
      <c r="AQ521" s="432">
        <v>0</v>
      </c>
      <c r="AR521" s="432">
        <v>0</v>
      </c>
      <c r="AS521" s="432">
        <v>0</v>
      </c>
      <c r="AT521" s="432">
        <v>0</v>
      </c>
      <c r="AU521" s="432">
        <v>0</v>
      </c>
      <c r="AV521" s="432">
        <v>0</v>
      </c>
      <c r="AW521" s="432">
        <v>0</v>
      </c>
      <c r="AX521" s="432">
        <v>0</v>
      </c>
      <c r="AY521" s="158">
        <v>0</v>
      </c>
      <c r="AZ521" s="158">
        <v>0</v>
      </c>
      <c r="BA521" s="158">
        <v>0</v>
      </c>
      <c r="BB521" s="158">
        <v>0</v>
      </c>
      <c r="BC521" s="158">
        <v>0</v>
      </c>
      <c r="BD521" s="158">
        <v>0</v>
      </c>
      <c r="BE521" s="158">
        <v>0</v>
      </c>
      <c r="BF521" s="160">
        <v>0</v>
      </c>
      <c r="BG521" s="383">
        <v>2023</v>
      </c>
      <c r="BH521" s="383">
        <v>1</v>
      </c>
      <c r="BI521" s="383">
        <v>19</v>
      </c>
      <c r="BK521" s="147" t="str">
        <f>IF(R521=SUM(Z521,AH521,AP521,AX521,BF521),"○","×")</f>
        <v>○</v>
      </c>
    </row>
    <row r="522" spans="1:63" x14ac:dyDescent="0.2">
      <c r="A522" s="428">
        <v>1728</v>
      </c>
      <c r="B522" s="429"/>
      <c r="C522" s="430"/>
      <c r="D522" s="429"/>
      <c r="E522" s="430"/>
      <c r="F522" s="429"/>
      <c r="G522" s="429"/>
      <c r="H522" s="430"/>
      <c r="I522" s="429"/>
      <c r="J522" s="429"/>
      <c r="K522" s="429"/>
      <c r="L522" s="383"/>
      <c r="M522" s="383" t="s">
        <v>903</v>
      </c>
      <c r="N522" s="383" t="s">
        <v>372</v>
      </c>
      <c r="O522" s="383" t="s">
        <v>904</v>
      </c>
      <c r="P522" s="383" t="s">
        <v>970</v>
      </c>
      <c r="Q522" s="383"/>
      <c r="R522" s="431">
        <v>1618000</v>
      </c>
      <c r="S522" s="158">
        <v>0</v>
      </c>
      <c r="T522" s="158">
        <v>0</v>
      </c>
      <c r="U522" s="158">
        <v>0</v>
      </c>
      <c r="V522" s="158">
        <v>0</v>
      </c>
      <c r="W522" s="158">
        <v>0</v>
      </c>
      <c r="X522" s="158">
        <v>0</v>
      </c>
      <c r="Y522" s="158">
        <v>0</v>
      </c>
      <c r="Z522" s="158">
        <v>0</v>
      </c>
      <c r="AA522" s="432">
        <v>0</v>
      </c>
      <c r="AB522" s="432">
        <v>0</v>
      </c>
      <c r="AC522" s="432">
        <v>0</v>
      </c>
      <c r="AD522" s="432">
        <v>0</v>
      </c>
      <c r="AE522" s="432">
        <v>0</v>
      </c>
      <c r="AF522" s="432">
        <v>0</v>
      </c>
      <c r="AG522" s="432">
        <v>0</v>
      </c>
      <c r="AH522" s="432">
        <v>0</v>
      </c>
      <c r="AI522" s="158">
        <v>1618056</v>
      </c>
      <c r="AJ522" s="158">
        <v>0</v>
      </c>
      <c r="AK522" s="158">
        <v>1618056</v>
      </c>
      <c r="AL522" s="158">
        <v>1618056</v>
      </c>
      <c r="AM522" s="158">
        <v>5904000</v>
      </c>
      <c r="AN522" s="158">
        <v>1618056</v>
      </c>
      <c r="AO522" s="158">
        <v>1618056</v>
      </c>
      <c r="AP522" s="158">
        <v>1618000</v>
      </c>
      <c r="AQ522" s="432">
        <v>0</v>
      </c>
      <c r="AR522" s="432">
        <v>0</v>
      </c>
      <c r="AS522" s="432">
        <v>0</v>
      </c>
      <c r="AT522" s="432">
        <v>0</v>
      </c>
      <c r="AU522" s="432">
        <v>0</v>
      </c>
      <c r="AV522" s="432">
        <v>0</v>
      </c>
      <c r="AW522" s="432">
        <v>0</v>
      </c>
      <c r="AX522" s="432">
        <v>0</v>
      </c>
      <c r="AY522" s="158">
        <v>0</v>
      </c>
      <c r="AZ522" s="158">
        <v>0</v>
      </c>
      <c r="BA522" s="158">
        <v>0</v>
      </c>
      <c r="BB522" s="158">
        <v>0</v>
      </c>
      <c r="BC522" s="158">
        <v>0</v>
      </c>
      <c r="BD522" s="158">
        <v>0</v>
      </c>
      <c r="BE522" s="158">
        <v>0</v>
      </c>
      <c r="BF522" s="160">
        <v>0</v>
      </c>
      <c r="BG522" s="383">
        <v>2023</v>
      </c>
      <c r="BH522" s="383">
        <v>1</v>
      </c>
      <c r="BI522" s="383">
        <v>19</v>
      </c>
      <c r="BK522" s="147" t="str">
        <f>IF(R522=SUM(Z522,AH522,AP522,AX522,BF522),"○","×")</f>
        <v>○</v>
      </c>
    </row>
    <row r="523" spans="1:63" x14ac:dyDescent="0.2">
      <c r="A523" s="428">
        <v>1729</v>
      </c>
      <c r="B523" s="429"/>
      <c r="C523" s="430"/>
      <c r="D523" s="429"/>
      <c r="E523" s="430"/>
      <c r="F523" s="429"/>
      <c r="G523" s="429"/>
      <c r="H523" s="430"/>
      <c r="I523" s="429"/>
      <c r="J523" s="429"/>
      <c r="K523" s="429"/>
      <c r="L523" s="383"/>
      <c r="M523" s="383" t="s">
        <v>905</v>
      </c>
      <c r="N523" s="383" t="s">
        <v>906</v>
      </c>
      <c r="O523" s="383" t="s">
        <v>907</v>
      </c>
      <c r="P523" s="383" t="s">
        <v>970</v>
      </c>
      <c r="Q523" s="146"/>
      <c r="R523" s="431">
        <v>193000</v>
      </c>
      <c r="S523" s="158">
        <v>0</v>
      </c>
      <c r="T523" s="158">
        <v>0</v>
      </c>
      <c r="U523" s="158">
        <v>0</v>
      </c>
      <c r="V523" s="158">
        <v>0</v>
      </c>
      <c r="W523" s="158">
        <v>0</v>
      </c>
      <c r="X523" s="158">
        <v>0</v>
      </c>
      <c r="Y523" s="158">
        <v>0</v>
      </c>
      <c r="Z523" s="158">
        <v>0</v>
      </c>
      <c r="AA523" s="432">
        <v>0</v>
      </c>
      <c r="AB523" s="432">
        <v>0</v>
      </c>
      <c r="AC523" s="432">
        <v>0</v>
      </c>
      <c r="AD523" s="432">
        <v>0</v>
      </c>
      <c r="AE523" s="432">
        <v>0</v>
      </c>
      <c r="AF523" s="432">
        <v>0</v>
      </c>
      <c r="AG523" s="432">
        <v>0</v>
      </c>
      <c r="AH523" s="432">
        <v>0</v>
      </c>
      <c r="AI523" s="158">
        <v>193600</v>
      </c>
      <c r="AJ523" s="158">
        <v>0</v>
      </c>
      <c r="AK523" s="158">
        <v>193600</v>
      </c>
      <c r="AL523" s="158">
        <v>193600</v>
      </c>
      <c r="AM523" s="158">
        <v>1555200</v>
      </c>
      <c r="AN523" s="158">
        <v>193600</v>
      </c>
      <c r="AO523" s="158">
        <v>193600</v>
      </c>
      <c r="AP523" s="158">
        <v>193000</v>
      </c>
      <c r="AQ523" s="432">
        <v>0</v>
      </c>
      <c r="AR523" s="432">
        <v>0</v>
      </c>
      <c r="AS523" s="432">
        <v>0</v>
      </c>
      <c r="AT523" s="432">
        <v>0</v>
      </c>
      <c r="AU523" s="432">
        <v>0</v>
      </c>
      <c r="AV523" s="432">
        <v>0</v>
      </c>
      <c r="AW523" s="432">
        <v>0</v>
      </c>
      <c r="AX523" s="432">
        <v>0</v>
      </c>
      <c r="AY523" s="158">
        <v>0</v>
      </c>
      <c r="AZ523" s="158">
        <v>0</v>
      </c>
      <c r="BA523" s="158">
        <v>0</v>
      </c>
      <c r="BB523" s="158">
        <v>0</v>
      </c>
      <c r="BC523" s="158">
        <v>0</v>
      </c>
      <c r="BD523" s="158">
        <v>0</v>
      </c>
      <c r="BE523" s="158">
        <v>0</v>
      </c>
      <c r="BF523" s="160">
        <v>0</v>
      </c>
      <c r="BG523" s="383">
        <v>2023</v>
      </c>
      <c r="BH523" s="383">
        <v>1</v>
      </c>
      <c r="BI523" s="383">
        <v>19</v>
      </c>
      <c r="BK523" s="147" t="str">
        <f>IF(R523=SUM(Z523,AH523,AP523,AX523,BF523),"○","×")</f>
        <v>○</v>
      </c>
    </row>
    <row r="524" spans="1:63" x14ac:dyDescent="0.2">
      <c r="A524" s="428">
        <v>1730</v>
      </c>
      <c r="B524" s="429"/>
      <c r="C524" s="430"/>
      <c r="D524" s="429"/>
      <c r="E524" s="430"/>
      <c r="F524" s="429"/>
      <c r="G524" s="429"/>
      <c r="H524" s="430"/>
      <c r="I524" s="429"/>
      <c r="J524" s="429"/>
      <c r="K524" s="429"/>
      <c r="L524" s="383"/>
      <c r="M524" s="383" t="s">
        <v>908</v>
      </c>
      <c r="N524" s="383" t="s">
        <v>340</v>
      </c>
      <c r="O524" s="383" t="s">
        <v>909</v>
      </c>
      <c r="P524" s="383" t="s">
        <v>970</v>
      </c>
      <c r="Q524" s="383"/>
      <c r="R524" s="431">
        <v>177000</v>
      </c>
      <c r="S524" s="158">
        <v>0</v>
      </c>
      <c r="T524" s="158">
        <v>0</v>
      </c>
      <c r="U524" s="158">
        <v>0</v>
      </c>
      <c r="V524" s="158">
        <v>0</v>
      </c>
      <c r="W524" s="158">
        <v>0</v>
      </c>
      <c r="X524" s="158">
        <v>0</v>
      </c>
      <c r="Y524" s="158">
        <v>0</v>
      </c>
      <c r="Z524" s="158">
        <v>0</v>
      </c>
      <c r="AA524" s="432">
        <v>0</v>
      </c>
      <c r="AB524" s="432">
        <v>0</v>
      </c>
      <c r="AC524" s="432">
        <v>0</v>
      </c>
      <c r="AD524" s="432">
        <v>0</v>
      </c>
      <c r="AE524" s="432">
        <v>0</v>
      </c>
      <c r="AF524" s="432">
        <v>0</v>
      </c>
      <c r="AG524" s="432">
        <v>0</v>
      </c>
      <c r="AH524" s="432">
        <v>0</v>
      </c>
      <c r="AI524" s="158">
        <v>177027</v>
      </c>
      <c r="AJ524" s="158">
        <v>0</v>
      </c>
      <c r="AK524" s="158">
        <v>177027</v>
      </c>
      <c r="AL524" s="158">
        <v>177027</v>
      </c>
      <c r="AM524" s="158">
        <v>4147200</v>
      </c>
      <c r="AN524" s="158">
        <v>177027</v>
      </c>
      <c r="AO524" s="158">
        <v>177027</v>
      </c>
      <c r="AP524" s="158">
        <v>177000</v>
      </c>
      <c r="AQ524" s="432">
        <v>0</v>
      </c>
      <c r="AR524" s="432">
        <v>0</v>
      </c>
      <c r="AS524" s="432">
        <v>0</v>
      </c>
      <c r="AT524" s="432">
        <v>0</v>
      </c>
      <c r="AU524" s="432">
        <v>0</v>
      </c>
      <c r="AV524" s="432">
        <v>0</v>
      </c>
      <c r="AW524" s="432">
        <v>0</v>
      </c>
      <c r="AX524" s="432">
        <v>0</v>
      </c>
      <c r="AY524" s="158">
        <v>0</v>
      </c>
      <c r="AZ524" s="158">
        <v>0</v>
      </c>
      <c r="BA524" s="158">
        <v>0</v>
      </c>
      <c r="BB524" s="158">
        <v>0</v>
      </c>
      <c r="BC524" s="158">
        <v>0</v>
      </c>
      <c r="BD524" s="158">
        <v>0</v>
      </c>
      <c r="BE524" s="158">
        <v>0</v>
      </c>
      <c r="BF524" s="160">
        <v>0</v>
      </c>
      <c r="BG524" s="383">
        <v>2023</v>
      </c>
      <c r="BH524" s="383">
        <v>1</v>
      </c>
      <c r="BI524" s="383">
        <v>19</v>
      </c>
      <c r="BK524" s="147" t="str">
        <f>IF(R524=SUM(Z524,AH524,AP524,AX524,BF524),"○","×")</f>
        <v>○</v>
      </c>
    </row>
    <row r="525" spans="1:63" x14ac:dyDescent="0.2">
      <c r="A525" s="428">
        <v>1731</v>
      </c>
      <c r="B525" s="429"/>
      <c r="C525" s="430"/>
      <c r="D525" s="429"/>
      <c r="E525" s="430"/>
      <c r="F525" s="429"/>
      <c r="G525" s="429"/>
      <c r="H525" s="430"/>
      <c r="I525" s="429"/>
      <c r="J525" s="429"/>
      <c r="K525" s="429"/>
      <c r="L525" s="383"/>
      <c r="M525" s="383" t="s">
        <v>556</v>
      </c>
      <c r="N525" s="383" t="s">
        <v>384</v>
      </c>
      <c r="O525" s="383" t="s">
        <v>418</v>
      </c>
      <c r="P525" s="383" t="s">
        <v>970</v>
      </c>
      <c r="Q525" s="383"/>
      <c r="R525" s="431">
        <v>10000</v>
      </c>
      <c r="S525" s="158">
        <v>0</v>
      </c>
      <c r="T525" s="158">
        <v>0</v>
      </c>
      <c r="U525" s="158">
        <v>0</v>
      </c>
      <c r="V525" s="158">
        <v>0</v>
      </c>
      <c r="W525" s="158">
        <v>0</v>
      </c>
      <c r="X525" s="158">
        <v>0</v>
      </c>
      <c r="Y525" s="158">
        <v>0</v>
      </c>
      <c r="Z525" s="158">
        <v>0</v>
      </c>
      <c r="AA525" s="432">
        <v>0</v>
      </c>
      <c r="AB525" s="432">
        <v>0</v>
      </c>
      <c r="AC525" s="432">
        <v>0</v>
      </c>
      <c r="AD525" s="432">
        <v>0</v>
      </c>
      <c r="AE525" s="432">
        <v>0</v>
      </c>
      <c r="AF525" s="432">
        <v>0</v>
      </c>
      <c r="AG525" s="432">
        <v>0</v>
      </c>
      <c r="AH525" s="432">
        <v>0</v>
      </c>
      <c r="AI525" s="158">
        <v>10560</v>
      </c>
      <c r="AJ525" s="158">
        <v>0</v>
      </c>
      <c r="AK525" s="158">
        <v>10560</v>
      </c>
      <c r="AL525" s="158">
        <v>10560</v>
      </c>
      <c r="AM525" s="158">
        <v>1350000</v>
      </c>
      <c r="AN525" s="158">
        <v>10560</v>
      </c>
      <c r="AO525" s="158">
        <v>10560</v>
      </c>
      <c r="AP525" s="158">
        <v>10000</v>
      </c>
      <c r="AQ525" s="432">
        <v>0</v>
      </c>
      <c r="AR525" s="432">
        <v>0</v>
      </c>
      <c r="AS525" s="432">
        <v>0</v>
      </c>
      <c r="AT525" s="432">
        <v>0</v>
      </c>
      <c r="AU525" s="432">
        <v>0</v>
      </c>
      <c r="AV525" s="432">
        <v>0</v>
      </c>
      <c r="AW525" s="432">
        <v>0</v>
      </c>
      <c r="AX525" s="432">
        <v>0</v>
      </c>
      <c r="AY525" s="158">
        <v>0</v>
      </c>
      <c r="AZ525" s="158">
        <v>0</v>
      </c>
      <c r="BA525" s="158">
        <v>0</v>
      </c>
      <c r="BB525" s="158">
        <v>0</v>
      </c>
      <c r="BC525" s="158">
        <v>0</v>
      </c>
      <c r="BD525" s="158">
        <v>0</v>
      </c>
      <c r="BE525" s="158">
        <v>0</v>
      </c>
      <c r="BF525" s="160">
        <v>0</v>
      </c>
      <c r="BG525" s="383">
        <v>2023</v>
      </c>
      <c r="BH525" s="383">
        <v>1</v>
      </c>
      <c r="BI525" s="383">
        <v>19</v>
      </c>
      <c r="BK525" s="147" t="str">
        <f>IF(R525=SUM(Z525,AH525,AP525,AX525,BF525),"○","×")</f>
        <v>○</v>
      </c>
    </row>
    <row r="526" spans="1:63" x14ac:dyDescent="0.2">
      <c r="A526" s="428">
        <v>1732</v>
      </c>
      <c r="B526" s="429"/>
      <c r="C526" s="430"/>
      <c r="D526" s="429"/>
      <c r="E526" s="430"/>
      <c r="F526" s="429"/>
      <c r="G526" s="429"/>
      <c r="H526" s="430"/>
      <c r="I526" s="429"/>
      <c r="J526" s="429"/>
      <c r="K526" s="429"/>
      <c r="L526" s="383"/>
      <c r="M526" s="383" t="s">
        <v>790</v>
      </c>
      <c r="N526" s="383" t="s">
        <v>323</v>
      </c>
      <c r="O526" s="383" t="s">
        <v>791</v>
      </c>
      <c r="P526" s="383" t="s">
        <v>970</v>
      </c>
      <c r="Q526" s="383"/>
      <c r="R526" s="431">
        <v>255000</v>
      </c>
      <c r="S526" s="158">
        <v>0</v>
      </c>
      <c r="T526" s="158">
        <v>0</v>
      </c>
      <c r="U526" s="158">
        <v>0</v>
      </c>
      <c r="V526" s="158">
        <v>0</v>
      </c>
      <c r="W526" s="158">
        <v>0</v>
      </c>
      <c r="X526" s="158">
        <v>0</v>
      </c>
      <c r="Y526" s="158">
        <v>0</v>
      </c>
      <c r="Z526" s="158">
        <v>0</v>
      </c>
      <c r="AA526" s="432">
        <v>0</v>
      </c>
      <c r="AB526" s="432">
        <v>0</v>
      </c>
      <c r="AC526" s="432">
        <v>0</v>
      </c>
      <c r="AD526" s="432">
        <v>0</v>
      </c>
      <c r="AE526" s="432">
        <v>0</v>
      </c>
      <c r="AF526" s="432">
        <v>0</v>
      </c>
      <c r="AG526" s="432">
        <v>0</v>
      </c>
      <c r="AH526" s="432">
        <v>0</v>
      </c>
      <c r="AI526" s="158">
        <v>255912</v>
      </c>
      <c r="AJ526" s="158">
        <v>0</v>
      </c>
      <c r="AK526" s="158">
        <v>255912</v>
      </c>
      <c r="AL526" s="158">
        <v>255912</v>
      </c>
      <c r="AM526" s="158">
        <v>3024000</v>
      </c>
      <c r="AN526" s="158">
        <v>255912</v>
      </c>
      <c r="AO526" s="158">
        <v>255912</v>
      </c>
      <c r="AP526" s="158">
        <v>255000</v>
      </c>
      <c r="AQ526" s="432">
        <v>0</v>
      </c>
      <c r="AR526" s="432">
        <v>0</v>
      </c>
      <c r="AS526" s="432">
        <v>0</v>
      </c>
      <c r="AT526" s="432">
        <v>0</v>
      </c>
      <c r="AU526" s="432">
        <v>0</v>
      </c>
      <c r="AV526" s="432">
        <v>0</v>
      </c>
      <c r="AW526" s="432">
        <v>0</v>
      </c>
      <c r="AX526" s="432">
        <v>0</v>
      </c>
      <c r="AY526" s="158">
        <v>0</v>
      </c>
      <c r="AZ526" s="158">
        <v>0</v>
      </c>
      <c r="BA526" s="158">
        <v>0</v>
      </c>
      <c r="BB526" s="158">
        <v>0</v>
      </c>
      <c r="BC526" s="158">
        <v>0</v>
      </c>
      <c r="BD526" s="158">
        <v>0</v>
      </c>
      <c r="BE526" s="158">
        <v>0</v>
      </c>
      <c r="BF526" s="160">
        <v>0</v>
      </c>
      <c r="BG526" s="383">
        <v>2023</v>
      </c>
      <c r="BH526" s="383">
        <v>1</v>
      </c>
      <c r="BI526" s="383">
        <v>19</v>
      </c>
      <c r="BK526" s="147" t="str">
        <f>IF(R526=SUM(Z526,AH526,AP526,AX526,BF526),"○","×")</f>
        <v>○</v>
      </c>
    </row>
    <row r="527" spans="1:63" x14ac:dyDescent="0.2">
      <c r="A527" s="428">
        <v>1733</v>
      </c>
      <c r="B527" s="429"/>
      <c r="C527" s="430"/>
      <c r="D527" s="429"/>
      <c r="E527" s="430"/>
      <c r="F527" s="429"/>
      <c r="G527" s="429"/>
      <c r="H527" s="430"/>
      <c r="I527" s="429"/>
      <c r="J527" s="429"/>
      <c r="K527" s="429"/>
      <c r="L527" s="383"/>
      <c r="M527" s="383" t="s">
        <v>910</v>
      </c>
      <c r="N527" s="383" t="s">
        <v>323</v>
      </c>
      <c r="O527" s="383" t="s">
        <v>911</v>
      </c>
      <c r="P527" s="383" t="s">
        <v>970</v>
      </c>
      <c r="Q527" s="383"/>
      <c r="R527" s="431">
        <v>385000</v>
      </c>
      <c r="S527" s="158">
        <v>0</v>
      </c>
      <c r="T527" s="158">
        <v>0</v>
      </c>
      <c r="U527" s="158">
        <v>0</v>
      </c>
      <c r="V527" s="158">
        <v>0</v>
      </c>
      <c r="W527" s="158">
        <v>0</v>
      </c>
      <c r="X527" s="158">
        <v>0</v>
      </c>
      <c r="Y527" s="158">
        <v>0</v>
      </c>
      <c r="Z527" s="158">
        <v>0</v>
      </c>
      <c r="AA527" s="432">
        <v>0</v>
      </c>
      <c r="AB527" s="432">
        <v>0</v>
      </c>
      <c r="AC527" s="432">
        <v>0</v>
      </c>
      <c r="AD527" s="432">
        <v>0</v>
      </c>
      <c r="AE527" s="432">
        <v>0</v>
      </c>
      <c r="AF527" s="432">
        <v>0</v>
      </c>
      <c r="AG527" s="432">
        <v>0</v>
      </c>
      <c r="AH527" s="432">
        <v>0</v>
      </c>
      <c r="AI527" s="158">
        <v>385216</v>
      </c>
      <c r="AJ527" s="158">
        <v>0</v>
      </c>
      <c r="AK527" s="158">
        <v>385216</v>
      </c>
      <c r="AL527" s="158">
        <v>385216</v>
      </c>
      <c r="AM527" s="158">
        <v>3067200</v>
      </c>
      <c r="AN527" s="158">
        <v>385216</v>
      </c>
      <c r="AO527" s="158">
        <v>385216</v>
      </c>
      <c r="AP527" s="158">
        <v>385000</v>
      </c>
      <c r="AQ527" s="432">
        <v>0</v>
      </c>
      <c r="AR527" s="432">
        <v>0</v>
      </c>
      <c r="AS527" s="432">
        <v>0</v>
      </c>
      <c r="AT527" s="432">
        <v>0</v>
      </c>
      <c r="AU527" s="432">
        <v>0</v>
      </c>
      <c r="AV527" s="432">
        <v>0</v>
      </c>
      <c r="AW527" s="432">
        <v>0</v>
      </c>
      <c r="AX527" s="432">
        <v>0</v>
      </c>
      <c r="AY527" s="158">
        <v>0</v>
      </c>
      <c r="AZ527" s="158">
        <v>0</v>
      </c>
      <c r="BA527" s="158">
        <v>0</v>
      </c>
      <c r="BB527" s="158">
        <v>0</v>
      </c>
      <c r="BC527" s="158">
        <v>0</v>
      </c>
      <c r="BD527" s="158">
        <v>0</v>
      </c>
      <c r="BE527" s="158">
        <v>0</v>
      </c>
      <c r="BF527" s="160">
        <v>0</v>
      </c>
      <c r="BG527" s="383">
        <v>2023</v>
      </c>
      <c r="BH527" s="383">
        <v>1</v>
      </c>
      <c r="BI527" s="383">
        <v>19</v>
      </c>
      <c r="BK527" s="147" t="str">
        <f>IF(R527=SUM(Z527,AH527,AP527,AX527,BF527),"○","×")</f>
        <v>○</v>
      </c>
    </row>
    <row r="528" spans="1:63" x14ac:dyDescent="0.2">
      <c r="A528" s="428">
        <v>1734</v>
      </c>
      <c r="B528" s="429"/>
      <c r="C528" s="430"/>
      <c r="D528" s="429"/>
      <c r="E528" s="430"/>
      <c r="F528" s="429"/>
      <c r="G528" s="429"/>
      <c r="H528" s="430"/>
      <c r="I528" s="429"/>
      <c r="J528" s="429"/>
      <c r="K528" s="429"/>
      <c r="L528" s="383"/>
      <c r="M528" s="383" t="s">
        <v>912</v>
      </c>
      <c r="N528" s="383" t="s">
        <v>447</v>
      </c>
      <c r="O528" s="383" t="s">
        <v>913</v>
      </c>
      <c r="P528" s="383" t="s">
        <v>970</v>
      </c>
      <c r="Q528" s="383"/>
      <c r="R528" s="431">
        <v>196000</v>
      </c>
      <c r="S528" s="158">
        <v>0</v>
      </c>
      <c r="T528" s="158">
        <v>0</v>
      </c>
      <c r="U528" s="158">
        <v>0</v>
      </c>
      <c r="V528" s="158">
        <v>0</v>
      </c>
      <c r="W528" s="158">
        <v>0</v>
      </c>
      <c r="X528" s="158">
        <v>0</v>
      </c>
      <c r="Y528" s="158">
        <v>0</v>
      </c>
      <c r="Z528" s="158">
        <v>0</v>
      </c>
      <c r="AA528" s="432">
        <v>0</v>
      </c>
      <c r="AB528" s="432">
        <v>0</v>
      </c>
      <c r="AC528" s="432">
        <v>0</v>
      </c>
      <c r="AD528" s="432">
        <v>0</v>
      </c>
      <c r="AE528" s="432">
        <v>0</v>
      </c>
      <c r="AF528" s="432">
        <v>0</v>
      </c>
      <c r="AG528" s="432">
        <v>0</v>
      </c>
      <c r="AH528" s="432">
        <v>0</v>
      </c>
      <c r="AI528" s="158">
        <v>196640</v>
      </c>
      <c r="AJ528" s="158">
        <v>0</v>
      </c>
      <c r="AK528" s="158">
        <v>196640</v>
      </c>
      <c r="AL528" s="158">
        <v>196640</v>
      </c>
      <c r="AM528" s="158">
        <v>2646000</v>
      </c>
      <c r="AN528" s="158">
        <v>196640</v>
      </c>
      <c r="AO528" s="158">
        <v>196640</v>
      </c>
      <c r="AP528" s="158">
        <v>196000</v>
      </c>
      <c r="AQ528" s="432">
        <v>0</v>
      </c>
      <c r="AR528" s="432">
        <v>0</v>
      </c>
      <c r="AS528" s="432">
        <v>0</v>
      </c>
      <c r="AT528" s="432">
        <v>0</v>
      </c>
      <c r="AU528" s="432">
        <v>0</v>
      </c>
      <c r="AV528" s="432">
        <v>0</v>
      </c>
      <c r="AW528" s="432">
        <v>0</v>
      </c>
      <c r="AX528" s="432">
        <v>0</v>
      </c>
      <c r="AY528" s="158">
        <v>0</v>
      </c>
      <c r="AZ528" s="158">
        <v>0</v>
      </c>
      <c r="BA528" s="158">
        <v>0</v>
      </c>
      <c r="BB528" s="158">
        <v>0</v>
      </c>
      <c r="BC528" s="158">
        <v>0</v>
      </c>
      <c r="BD528" s="158">
        <v>0</v>
      </c>
      <c r="BE528" s="158">
        <v>0</v>
      </c>
      <c r="BF528" s="160">
        <v>0</v>
      </c>
      <c r="BG528" s="383">
        <v>2023</v>
      </c>
      <c r="BH528" s="383">
        <v>1</v>
      </c>
      <c r="BI528" s="383">
        <v>19</v>
      </c>
      <c r="BK528" s="147" t="str">
        <f>IF(R528=SUM(Z528,AH528,AP528,AX528,BF528),"○","×")</f>
        <v>○</v>
      </c>
    </row>
    <row r="529" spans="1:63" x14ac:dyDescent="0.2">
      <c r="A529" s="428">
        <v>1735</v>
      </c>
      <c r="B529" s="429"/>
      <c r="C529" s="430"/>
      <c r="D529" s="429"/>
      <c r="E529" s="430"/>
      <c r="F529" s="429"/>
      <c r="G529" s="429"/>
      <c r="H529" s="430"/>
      <c r="I529" s="429"/>
      <c r="J529" s="429"/>
      <c r="K529" s="429"/>
      <c r="L529" s="383"/>
      <c r="M529" s="383" t="s">
        <v>914</v>
      </c>
      <c r="N529" s="383" t="s">
        <v>408</v>
      </c>
      <c r="O529" s="383" t="s">
        <v>333</v>
      </c>
      <c r="P529" s="383" t="s">
        <v>970</v>
      </c>
      <c r="Q529" s="383"/>
      <c r="R529" s="431">
        <v>64000</v>
      </c>
      <c r="S529" s="158">
        <v>0</v>
      </c>
      <c r="T529" s="158">
        <v>0</v>
      </c>
      <c r="U529" s="158">
        <v>0</v>
      </c>
      <c r="V529" s="158">
        <v>0</v>
      </c>
      <c r="W529" s="158">
        <v>0</v>
      </c>
      <c r="X529" s="158">
        <v>0</v>
      </c>
      <c r="Y529" s="158">
        <v>0</v>
      </c>
      <c r="Z529" s="158">
        <v>0</v>
      </c>
      <c r="AA529" s="432">
        <v>0</v>
      </c>
      <c r="AB529" s="432">
        <v>0</v>
      </c>
      <c r="AC529" s="432">
        <v>0</v>
      </c>
      <c r="AD529" s="432">
        <v>0</v>
      </c>
      <c r="AE529" s="432">
        <v>0</v>
      </c>
      <c r="AF529" s="432">
        <v>0</v>
      </c>
      <c r="AG529" s="432">
        <v>0</v>
      </c>
      <c r="AH529" s="432">
        <v>0</v>
      </c>
      <c r="AI529" s="158">
        <v>64276</v>
      </c>
      <c r="AJ529" s="158">
        <v>0</v>
      </c>
      <c r="AK529" s="158">
        <v>64276</v>
      </c>
      <c r="AL529" s="158">
        <v>64276</v>
      </c>
      <c r="AM529" s="158">
        <v>2016000</v>
      </c>
      <c r="AN529" s="158">
        <v>64276</v>
      </c>
      <c r="AO529" s="158">
        <v>64276</v>
      </c>
      <c r="AP529" s="158">
        <v>64000</v>
      </c>
      <c r="AQ529" s="432">
        <v>0</v>
      </c>
      <c r="AR529" s="432">
        <v>0</v>
      </c>
      <c r="AS529" s="432">
        <v>0</v>
      </c>
      <c r="AT529" s="432">
        <v>0</v>
      </c>
      <c r="AU529" s="432">
        <v>0</v>
      </c>
      <c r="AV529" s="432">
        <v>0</v>
      </c>
      <c r="AW529" s="432">
        <v>0</v>
      </c>
      <c r="AX529" s="432">
        <v>0</v>
      </c>
      <c r="AY529" s="158">
        <v>0</v>
      </c>
      <c r="AZ529" s="158">
        <v>0</v>
      </c>
      <c r="BA529" s="158">
        <v>0</v>
      </c>
      <c r="BB529" s="158">
        <v>0</v>
      </c>
      <c r="BC529" s="158">
        <v>0</v>
      </c>
      <c r="BD529" s="158">
        <v>0</v>
      </c>
      <c r="BE529" s="158">
        <v>0</v>
      </c>
      <c r="BF529" s="160">
        <v>0</v>
      </c>
      <c r="BG529" s="383">
        <v>2023</v>
      </c>
      <c r="BH529" s="383">
        <v>1</v>
      </c>
      <c r="BI529" s="383">
        <v>19</v>
      </c>
      <c r="BK529" s="147" t="str">
        <f>IF(R529=SUM(Z529,AH529,AP529,AX529,BF529),"○","×")</f>
        <v>○</v>
      </c>
    </row>
    <row r="530" spans="1:63" x14ac:dyDescent="0.2">
      <c r="A530" s="428">
        <v>1736</v>
      </c>
      <c r="B530" s="429"/>
      <c r="C530" s="430"/>
      <c r="D530" s="429"/>
      <c r="E530" s="430"/>
      <c r="F530" s="429"/>
      <c r="G530" s="429"/>
      <c r="H530" s="430"/>
      <c r="I530" s="429"/>
      <c r="J530" s="429"/>
      <c r="K530" s="429"/>
      <c r="L530" s="383"/>
      <c r="M530" s="383" t="s">
        <v>915</v>
      </c>
      <c r="N530" s="383" t="s">
        <v>353</v>
      </c>
      <c r="O530" s="383" t="s">
        <v>450</v>
      </c>
      <c r="P530" s="383" t="s">
        <v>970</v>
      </c>
      <c r="Q530" s="383"/>
      <c r="R530" s="431">
        <v>159000</v>
      </c>
      <c r="S530" s="158">
        <v>0</v>
      </c>
      <c r="T530" s="158">
        <v>0</v>
      </c>
      <c r="U530" s="158">
        <v>0</v>
      </c>
      <c r="V530" s="158">
        <v>0</v>
      </c>
      <c r="W530" s="158">
        <v>0</v>
      </c>
      <c r="X530" s="158">
        <v>0</v>
      </c>
      <c r="Y530" s="158">
        <v>0</v>
      </c>
      <c r="Z530" s="158">
        <v>0</v>
      </c>
      <c r="AA530" s="432">
        <v>0</v>
      </c>
      <c r="AB530" s="432">
        <v>0</v>
      </c>
      <c r="AC530" s="432">
        <v>0</v>
      </c>
      <c r="AD530" s="432">
        <v>0</v>
      </c>
      <c r="AE530" s="432">
        <v>0</v>
      </c>
      <c r="AF530" s="432">
        <v>0</v>
      </c>
      <c r="AG530" s="432">
        <v>0</v>
      </c>
      <c r="AH530" s="432">
        <v>0</v>
      </c>
      <c r="AI530" s="158">
        <v>159940</v>
      </c>
      <c r="AJ530" s="158">
        <v>0</v>
      </c>
      <c r="AK530" s="158">
        <v>159940</v>
      </c>
      <c r="AL530" s="158">
        <v>159940</v>
      </c>
      <c r="AM530" s="158">
        <v>1029600</v>
      </c>
      <c r="AN530" s="158">
        <v>159940</v>
      </c>
      <c r="AO530" s="158">
        <v>159940</v>
      </c>
      <c r="AP530" s="158">
        <v>159000</v>
      </c>
      <c r="AQ530" s="432">
        <v>0</v>
      </c>
      <c r="AR530" s="432">
        <v>0</v>
      </c>
      <c r="AS530" s="432">
        <v>0</v>
      </c>
      <c r="AT530" s="432">
        <v>0</v>
      </c>
      <c r="AU530" s="432">
        <v>0</v>
      </c>
      <c r="AV530" s="432">
        <v>0</v>
      </c>
      <c r="AW530" s="432">
        <v>0</v>
      </c>
      <c r="AX530" s="432">
        <v>0</v>
      </c>
      <c r="AY530" s="158">
        <v>0</v>
      </c>
      <c r="AZ530" s="158">
        <v>0</v>
      </c>
      <c r="BA530" s="158">
        <v>0</v>
      </c>
      <c r="BB530" s="158">
        <v>0</v>
      </c>
      <c r="BC530" s="158">
        <v>0</v>
      </c>
      <c r="BD530" s="158">
        <v>0</v>
      </c>
      <c r="BE530" s="158">
        <v>0</v>
      </c>
      <c r="BF530" s="160">
        <v>0</v>
      </c>
      <c r="BG530" s="383">
        <v>2023</v>
      </c>
      <c r="BH530" s="383">
        <v>1</v>
      </c>
      <c r="BI530" s="383">
        <v>19</v>
      </c>
      <c r="BK530" s="147" t="str">
        <f>IF(R530=SUM(Z530,AH530,AP530,AX530,BF530),"○","×")</f>
        <v>○</v>
      </c>
    </row>
    <row r="531" spans="1:63" x14ac:dyDescent="0.2">
      <c r="A531" s="428">
        <v>1737</v>
      </c>
      <c r="B531" s="429"/>
      <c r="C531" s="430"/>
      <c r="D531" s="429"/>
      <c r="E531" s="430"/>
      <c r="F531" s="429"/>
      <c r="G531" s="429"/>
      <c r="H531" s="430"/>
      <c r="I531" s="429"/>
      <c r="J531" s="429"/>
      <c r="K531" s="429"/>
      <c r="L531" s="383"/>
      <c r="M531" s="383" t="s">
        <v>480</v>
      </c>
      <c r="N531" s="383" t="s">
        <v>367</v>
      </c>
      <c r="O531" s="383" t="s">
        <v>481</v>
      </c>
      <c r="P531" s="383" t="s">
        <v>970</v>
      </c>
      <c r="Q531" s="383"/>
      <c r="R531" s="431">
        <v>272000</v>
      </c>
      <c r="S531" s="158">
        <v>0</v>
      </c>
      <c r="T531" s="158">
        <v>0</v>
      </c>
      <c r="U531" s="158">
        <v>0</v>
      </c>
      <c r="V531" s="158">
        <v>0</v>
      </c>
      <c r="W531" s="158">
        <v>0</v>
      </c>
      <c r="X531" s="158">
        <v>0</v>
      </c>
      <c r="Y531" s="158">
        <v>0</v>
      </c>
      <c r="Z531" s="158">
        <v>0</v>
      </c>
      <c r="AA531" s="432">
        <v>0</v>
      </c>
      <c r="AB531" s="432">
        <v>0</v>
      </c>
      <c r="AC531" s="432">
        <v>0</v>
      </c>
      <c r="AD531" s="432">
        <v>0</v>
      </c>
      <c r="AE531" s="432">
        <v>0</v>
      </c>
      <c r="AF531" s="432">
        <v>0</v>
      </c>
      <c r="AG531" s="432">
        <v>0</v>
      </c>
      <c r="AH531" s="432">
        <v>0</v>
      </c>
      <c r="AI531" s="158">
        <v>272250</v>
      </c>
      <c r="AJ531" s="158">
        <v>0</v>
      </c>
      <c r="AK531" s="158">
        <v>272250</v>
      </c>
      <c r="AL531" s="158">
        <v>272250</v>
      </c>
      <c r="AM531" s="158">
        <v>561600</v>
      </c>
      <c r="AN531" s="158">
        <v>272250</v>
      </c>
      <c r="AO531" s="158">
        <v>272250</v>
      </c>
      <c r="AP531" s="158">
        <v>272000</v>
      </c>
      <c r="AQ531" s="432">
        <v>0</v>
      </c>
      <c r="AR531" s="432">
        <v>0</v>
      </c>
      <c r="AS531" s="432">
        <v>0</v>
      </c>
      <c r="AT531" s="432">
        <v>0</v>
      </c>
      <c r="AU531" s="432">
        <v>0</v>
      </c>
      <c r="AV531" s="432">
        <v>0</v>
      </c>
      <c r="AW531" s="432">
        <v>0</v>
      </c>
      <c r="AX531" s="432">
        <v>0</v>
      </c>
      <c r="AY531" s="158">
        <v>0</v>
      </c>
      <c r="AZ531" s="158">
        <v>0</v>
      </c>
      <c r="BA531" s="158">
        <v>0</v>
      </c>
      <c r="BB531" s="158">
        <v>0</v>
      </c>
      <c r="BC531" s="158">
        <v>0</v>
      </c>
      <c r="BD531" s="158">
        <v>0</v>
      </c>
      <c r="BE531" s="158">
        <v>0</v>
      </c>
      <c r="BF531" s="160">
        <v>0</v>
      </c>
      <c r="BG531" s="383">
        <v>2023</v>
      </c>
      <c r="BH531" s="383">
        <v>1</v>
      </c>
      <c r="BI531" s="383">
        <v>19</v>
      </c>
      <c r="BK531" s="147" t="str">
        <f>IF(R531=SUM(Z531,AH531,AP531,AX531,BF531),"○","×")</f>
        <v>○</v>
      </c>
    </row>
    <row r="532" spans="1:63" x14ac:dyDescent="0.2">
      <c r="A532" s="428">
        <v>1738</v>
      </c>
      <c r="B532" s="429"/>
      <c r="C532" s="430"/>
      <c r="D532" s="429"/>
      <c r="E532" s="430"/>
      <c r="F532" s="429"/>
      <c r="G532" s="429"/>
      <c r="H532" s="430"/>
      <c r="I532" s="429"/>
      <c r="J532" s="429"/>
      <c r="K532" s="429"/>
      <c r="L532" s="383"/>
      <c r="M532" s="383" t="s">
        <v>916</v>
      </c>
      <c r="N532" s="383" t="s">
        <v>367</v>
      </c>
      <c r="O532" s="383" t="s">
        <v>515</v>
      </c>
      <c r="P532" s="383" t="s">
        <v>970</v>
      </c>
      <c r="Q532" s="383"/>
      <c r="R532" s="431">
        <v>643000</v>
      </c>
      <c r="S532" s="158">
        <v>0</v>
      </c>
      <c r="T532" s="158">
        <v>0</v>
      </c>
      <c r="U532" s="158">
        <v>0</v>
      </c>
      <c r="V532" s="158">
        <v>0</v>
      </c>
      <c r="W532" s="158">
        <v>0</v>
      </c>
      <c r="X532" s="158">
        <v>0</v>
      </c>
      <c r="Y532" s="158">
        <v>0</v>
      </c>
      <c r="Z532" s="158">
        <v>0</v>
      </c>
      <c r="AA532" s="432">
        <v>0</v>
      </c>
      <c r="AB532" s="432">
        <v>0</v>
      </c>
      <c r="AC532" s="432">
        <v>0</v>
      </c>
      <c r="AD532" s="432">
        <v>0</v>
      </c>
      <c r="AE532" s="432">
        <v>0</v>
      </c>
      <c r="AF532" s="432">
        <v>0</v>
      </c>
      <c r="AG532" s="432">
        <v>0</v>
      </c>
      <c r="AH532" s="432">
        <v>0</v>
      </c>
      <c r="AI532" s="158">
        <v>643500</v>
      </c>
      <c r="AJ532" s="158">
        <v>0</v>
      </c>
      <c r="AK532" s="158">
        <v>643500</v>
      </c>
      <c r="AL532" s="158">
        <v>643500</v>
      </c>
      <c r="AM532" s="158">
        <v>1756800</v>
      </c>
      <c r="AN532" s="158">
        <v>643500</v>
      </c>
      <c r="AO532" s="158">
        <v>643500</v>
      </c>
      <c r="AP532" s="158">
        <v>643000</v>
      </c>
      <c r="AQ532" s="432">
        <v>0</v>
      </c>
      <c r="AR532" s="432">
        <v>0</v>
      </c>
      <c r="AS532" s="432">
        <v>0</v>
      </c>
      <c r="AT532" s="432">
        <v>0</v>
      </c>
      <c r="AU532" s="432">
        <v>0</v>
      </c>
      <c r="AV532" s="432">
        <v>0</v>
      </c>
      <c r="AW532" s="432">
        <v>0</v>
      </c>
      <c r="AX532" s="432">
        <v>0</v>
      </c>
      <c r="AY532" s="158">
        <v>0</v>
      </c>
      <c r="AZ532" s="158">
        <v>0</v>
      </c>
      <c r="BA532" s="158">
        <v>0</v>
      </c>
      <c r="BB532" s="158">
        <v>0</v>
      </c>
      <c r="BC532" s="158">
        <v>0</v>
      </c>
      <c r="BD532" s="158">
        <v>0</v>
      </c>
      <c r="BE532" s="158">
        <v>0</v>
      </c>
      <c r="BF532" s="160">
        <v>0</v>
      </c>
      <c r="BG532" s="383">
        <v>2023</v>
      </c>
      <c r="BH532" s="383">
        <v>1</v>
      </c>
      <c r="BI532" s="383">
        <v>19</v>
      </c>
      <c r="BK532" s="147" t="str">
        <f>IF(R532=SUM(Z532,AH532,AP532,AX532,BF532),"○","×")</f>
        <v>○</v>
      </c>
    </row>
    <row r="533" spans="1:63" x14ac:dyDescent="0.2">
      <c r="A533" s="428">
        <v>1739</v>
      </c>
      <c r="B533" s="429"/>
      <c r="C533" s="430"/>
      <c r="D533" s="429"/>
      <c r="E533" s="430"/>
      <c r="F533" s="429"/>
      <c r="G533" s="429"/>
      <c r="H533" s="430"/>
      <c r="I533" s="429"/>
      <c r="J533" s="429"/>
      <c r="K533" s="429"/>
      <c r="L533" s="383"/>
      <c r="M533" s="383" t="s">
        <v>485</v>
      </c>
      <c r="N533" s="383" t="s">
        <v>483</v>
      </c>
      <c r="O533" s="383" t="s">
        <v>486</v>
      </c>
      <c r="P533" s="383" t="s">
        <v>970</v>
      </c>
      <c r="Q533" s="383"/>
      <c r="R533" s="431">
        <v>271000</v>
      </c>
      <c r="S533" s="158">
        <v>0</v>
      </c>
      <c r="T533" s="158">
        <v>0</v>
      </c>
      <c r="U533" s="158">
        <v>0</v>
      </c>
      <c r="V533" s="158">
        <v>0</v>
      </c>
      <c r="W533" s="158">
        <v>0</v>
      </c>
      <c r="X533" s="158">
        <v>0</v>
      </c>
      <c r="Y533" s="158">
        <v>0</v>
      </c>
      <c r="Z533" s="158">
        <v>0</v>
      </c>
      <c r="AA533" s="432">
        <v>0</v>
      </c>
      <c r="AB533" s="432">
        <v>0</v>
      </c>
      <c r="AC533" s="432">
        <v>0</v>
      </c>
      <c r="AD533" s="432">
        <v>0</v>
      </c>
      <c r="AE533" s="432">
        <v>0</v>
      </c>
      <c r="AF533" s="432">
        <v>0</v>
      </c>
      <c r="AG533" s="432">
        <v>0</v>
      </c>
      <c r="AH533" s="432">
        <v>0</v>
      </c>
      <c r="AI533" s="158">
        <v>271122</v>
      </c>
      <c r="AJ533" s="158">
        <v>0</v>
      </c>
      <c r="AK533" s="158">
        <v>271122</v>
      </c>
      <c r="AL533" s="158">
        <v>271122</v>
      </c>
      <c r="AM533" s="158">
        <v>374400</v>
      </c>
      <c r="AN533" s="158">
        <v>271122</v>
      </c>
      <c r="AO533" s="158">
        <v>271122</v>
      </c>
      <c r="AP533" s="158">
        <v>271000</v>
      </c>
      <c r="AQ533" s="432">
        <v>0</v>
      </c>
      <c r="AR533" s="432">
        <v>0</v>
      </c>
      <c r="AS533" s="432">
        <v>0</v>
      </c>
      <c r="AT533" s="432">
        <v>0</v>
      </c>
      <c r="AU533" s="432">
        <v>0</v>
      </c>
      <c r="AV533" s="432">
        <v>0</v>
      </c>
      <c r="AW533" s="432">
        <v>0</v>
      </c>
      <c r="AX533" s="432">
        <v>0</v>
      </c>
      <c r="AY533" s="158">
        <v>0</v>
      </c>
      <c r="AZ533" s="158">
        <v>0</v>
      </c>
      <c r="BA533" s="158">
        <v>0</v>
      </c>
      <c r="BB533" s="158">
        <v>0</v>
      </c>
      <c r="BC533" s="158">
        <v>0</v>
      </c>
      <c r="BD533" s="158">
        <v>0</v>
      </c>
      <c r="BE533" s="158">
        <v>0</v>
      </c>
      <c r="BF533" s="160">
        <v>0</v>
      </c>
      <c r="BG533" s="383">
        <v>2023</v>
      </c>
      <c r="BH533" s="383">
        <v>1</v>
      </c>
      <c r="BI533" s="383">
        <v>19</v>
      </c>
      <c r="BK533" s="147" t="str">
        <f>IF(R533=SUM(Z533,AH533,AP533,AX533,BF533),"○","×")</f>
        <v>○</v>
      </c>
    </row>
    <row r="534" spans="1:63" x14ac:dyDescent="0.2">
      <c r="A534" s="428">
        <v>1740</v>
      </c>
      <c r="B534" s="429"/>
      <c r="C534" s="430"/>
      <c r="D534" s="429"/>
      <c r="E534" s="430"/>
      <c r="F534" s="429"/>
      <c r="G534" s="429"/>
      <c r="H534" s="430"/>
      <c r="I534" s="429"/>
      <c r="J534" s="429"/>
      <c r="K534" s="429"/>
      <c r="L534" s="383"/>
      <c r="M534" s="383" t="s">
        <v>505</v>
      </c>
      <c r="N534" s="383" t="s">
        <v>323</v>
      </c>
      <c r="O534" s="383" t="s">
        <v>506</v>
      </c>
      <c r="P534" s="383" t="s">
        <v>970</v>
      </c>
      <c r="Q534" s="383"/>
      <c r="R534" s="431">
        <v>846000</v>
      </c>
      <c r="S534" s="158">
        <v>0</v>
      </c>
      <c r="T534" s="158">
        <v>0</v>
      </c>
      <c r="U534" s="158">
        <v>0</v>
      </c>
      <c r="V534" s="158">
        <v>0</v>
      </c>
      <c r="W534" s="158">
        <v>0</v>
      </c>
      <c r="X534" s="158">
        <v>0</v>
      </c>
      <c r="Y534" s="158">
        <v>0</v>
      </c>
      <c r="Z534" s="158">
        <v>0</v>
      </c>
      <c r="AA534" s="432">
        <v>0</v>
      </c>
      <c r="AB534" s="432">
        <v>0</v>
      </c>
      <c r="AC534" s="432">
        <v>0</v>
      </c>
      <c r="AD534" s="432">
        <v>0</v>
      </c>
      <c r="AE534" s="432">
        <v>0</v>
      </c>
      <c r="AF534" s="432">
        <v>0</v>
      </c>
      <c r="AG534" s="432">
        <v>0</v>
      </c>
      <c r="AH534" s="432">
        <v>0</v>
      </c>
      <c r="AI534" s="158">
        <v>846193</v>
      </c>
      <c r="AJ534" s="158">
        <v>0</v>
      </c>
      <c r="AK534" s="158">
        <v>846193</v>
      </c>
      <c r="AL534" s="158">
        <v>846193</v>
      </c>
      <c r="AM534" s="158">
        <v>1544400</v>
      </c>
      <c r="AN534" s="158">
        <v>846193</v>
      </c>
      <c r="AO534" s="158">
        <v>846193</v>
      </c>
      <c r="AP534" s="158">
        <v>846000</v>
      </c>
      <c r="AQ534" s="432">
        <v>0</v>
      </c>
      <c r="AR534" s="432">
        <v>0</v>
      </c>
      <c r="AS534" s="432">
        <v>0</v>
      </c>
      <c r="AT534" s="432">
        <v>0</v>
      </c>
      <c r="AU534" s="432">
        <v>0</v>
      </c>
      <c r="AV534" s="432">
        <v>0</v>
      </c>
      <c r="AW534" s="432">
        <v>0</v>
      </c>
      <c r="AX534" s="432">
        <v>0</v>
      </c>
      <c r="AY534" s="158">
        <v>0</v>
      </c>
      <c r="AZ534" s="158">
        <v>0</v>
      </c>
      <c r="BA534" s="158">
        <v>0</v>
      </c>
      <c r="BB534" s="158">
        <v>0</v>
      </c>
      <c r="BC534" s="158">
        <v>0</v>
      </c>
      <c r="BD534" s="158">
        <v>0</v>
      </c>
      <c r="BE534" s="158">
        <v>0</v>
      </c>
      <c r="BF534" s="160">
        <v>0</v>
      </c>
      <c r="BG534" s="383">
        <v>2023</v>
      </c>
      <c r="BH534" s="383">
        <v>1</v>
      </c>
      <c r="BI534" s="383">
        <v>19</v>
      </c>
      <c r="BK534" s="147" t="str">
        <f>IF(R534=SUM(Z534,AH534,AP534,AX534,BF534),"○","×")</f>
        <v>○</v>
      </c>
    </row>
    <row r="535" spans="1:63" x14ac:dyDescent="0.2">
      <c r="A535" s="428">
        <v>1741</v>
      </c>
      <c r="B535" s="429"/>
      <c r="C535" s="430"/>
      <c r="D535" s="429"/>
      <c r="E535" s="430"/>
      <c r="F535" s="429"/>
      <c r="G535" s="429"/>
      <c r="H535" s="430"/>
      <c r="I535" s="429"/>
      <c r="J535" s="429"/>
      <c r="K535" s="429"/>
      <c r="L535" s="383"/>
      <c r="M535" s="383" t="s">
        <v>495</v>
      </c>
      <c r="N535" s="383" t="s">
        <v>323</v>
      </c>
      <c r="O535" s="383" t="s">
        <v>466</v>
      </c>
      <c r="P535" s="383" t="s">
        <v>970</v>
      </c>
      <c r="Q535" s="383"/>
      <c r="R535" s="431">
        <v>312000</v>
      </c>
      <c r="S535" s="158">
        <v>0</v>
      </c>
      <c r="T535" s="158">
        <v>0</v>
      </c>
      <c r="U535" s="158">
        <v>0</v>
      </c>
      <c r="V535" s="158">
        <v>0</v>
      </c>
      <c r="W535" s="158">
        <v>0</v>
      </c>
      <c r="X535" s="158">
        <v>0</v>
      </c>
      <c r="Y535" s="158">
        <v>0</v>
      </c>
      <c r="Z535" s="158">
        <v>0</v>
      </c>
      <c r="AA535" s="432">
        <v>0</v>
      </c>
      <c r="AB535" s="432">
        <v>0</v>
      </c>
      <c r="AC535" s="432">
        <v>0</v>
      </c>
      <c r="AD535" s="432">
        <v>0</v>
      </c>
      <c r="AE535" s="432">
        <v>0</v>
      </c>
      <c r="AF535" s="432">
        <v>0</v>
      </c>
      <c r="AG535" s="432">
        <v>0</v>
      </c>
      <c r="AH535" s="432">
        <v>0</v>
      </c>
      <c r="AI535" s="158">
        <v>312942</v>
      </c>
      <c r="AJ535" s="158">
        <v>0</v>
      </c>
      <c r="AK535" s="158">
        <v>312942</v>
      </c>
      <c r="AL535" s="158">
        <v>312942</v>
      </c>
      <c r="AM535" s="158">
        <v>1123200</v>
      </c>
      <c r="AN535" s="158">
        <v>312942</v>
      </c>
      <c r="AO535" s="158">
        <v>312942</v>
      </c>
      <c r="AP535" s="158">
        <v>312000</v>
      </c>
      <c r="AQ535" s="432">
        <v>0</v>
      </c>
      <c r="AR535" s="432">
        <v>0</v>
      </c>
      <c r="AS535" s="432">
        <v>0</v>
      </c>
      <c r="AT535" s="432">
        <v>0</v>
      </c>
      <c r="AU535" s="432">
        <v>0</v>
      </c>
      <c r="AV535" s="432">
        <v>0</v>
      </c>
      <c r="AW535" s="432">
        <v>0</v>
      </c>
      <c r="AX535" s="432">
        <v>0</v>
      </c>
      <c r="AY535" s="158">
        <v>0</v>
      </c>
      <c r="AZ535" s="158">
        <v>0</v>
      </c>
      <c r="BA535" s="158">
        <v>0</v>
      </c>
      <c r="BB535" s="158">
        <v>0</v>
      </c>
      <c r="BC535" s="158">
        <v>0</v>
      </c>
      <c r="BD535" s="158">
        <v>0</v>
      </c>
      <c r="BE535" s="158">
        <v>0</v>
      </c>
      <c r="BF535" s="160">
        <v>0</v>
      </c>
      <c r="BG535" s="383">
        <v>2023</v>
      </c>
      <c r="BH535" s="383">
        <v>1</v>
      </c>
      <c r="BI535" s="383">
        <v>19</v>
      </c>
      <c r="BK535" s="147" t="str">
        <f>IF(R535=SUM(Z535,AH535,AP535,AX535,BF535),"○","×")</f>
        <v>○</v>
      </c>
    </row>
    <row r="536" spans="1:63" x14ac:dyDescent="0.2">
      <c r="A536" s="428">
        <v>1742</v>
      </c>
      <c r="B536" s="429"/>
      <c r="C536" s="430"/>
      <c r="D536" s="429"/>
      <c r="E536" s="430"/>
      <c r="F536" s="429"/>
      <c r="G536" s="429"/>
      <c r="H536" s="430"/>
      <c r="I536" s="429"/>
      <c r="J536" s="429"/>
      <c r="K536" s="429"/>
      <c r="L536" s="383"/>
      <c r="M536" s="383" t="s">
        <v>917</v>
      </c>
      <c r="N536" s="383" t="s">
        <v>367</v>
      </c>
      <c r="O536" s="383" t="s">
        <v>380</v>
      </c>
      <c r="P536" s="383" t="s">
        <v>970</v>
      </c>
      <c r="Q536" s="383"/>
      <c r="R536" s="431">
        <v>441000</v>
      </c>
      <c r="S536" s="158">
        <v>0</v>
      </c>
      <c r="T536" s="158">
        <v>0</v>
      </c>
      <c r="U536" s="158">
        <v>0</v>
      </c>
      <c r="V536" s="158">
        <v>0</v>
      </c>
      <c r="W536" s="158">
        <v>0</v>
      </c>
      <c r="X536" s="158">
        <v>0</v>
      </c>
      <c r="Y536" s="158">
        <v>0</v>
      </c>
      <c r="Z536" s="158">
        <v>0</v>
      </c>
      <c r="AA536" s="432">
        <v>0</v>
      </c>
      <c r="AB536" s="432">
        <v>0</v>
      </c>
      <c r="AC536" s="432">
        <v>0</v>
      </c>
      <c r="AD536" s="432">
        <v>0</v>
      </c>
      <c r="AE536" s="432">
        <v>0</v>
      </c>
      <c r="AF536" s="432">
        <v>0</v>
      </c>
      <c r="AG536" s="432">
        <v>0</v>
      </c>
      <c r="AH536" s="432">
        <v>0</v>
      </c>
      <c r="AI536" s="158">
        <v>441125</v>
      </c>
      <c r="AJ536" s="158">
        <v>0</v>
      </c>
      <c r="AK536" s="158">
        <v>441125</v>
      </c>
      <c r="AL536" s="158">
        <v>441125</v>
      </c>
      <c r="AM536" s="158">
        <v>2088000</v>
      </c>
      <c r="AN536" s="158">
        <v>441125</v>
      </c>
      <c r="AO536" s="158">
        <v>441125</v>
      </c>
      <c r="AP536" s="158">
        <v>441000</v>
      </c>
      <c r="AQ536" s="432">
        <v>0</v>
      </c>
      <c r="AR536" s="432">
        <v>0</v>
      </c>
      <c r="AS536" s="432">
        <v>0</v>
      </c>
      <c r="AT536" s="432">
        <v>0</v>
      </c>
      <c r="AU536" s="432">
        <v>0</v>
      </c>
      <c r="AV536" s="432">
        <v>0</v>
      </c>
      <c r="AW536" s="432">
        <v>0</v>
      </c>
      <c r="AX536" s="432">
        <v>0</v>
      </c>
      <c r="AY536" s="158">
        <v>0</v>
      </c>
      <c r="AZ536" s="158">
        <v>0</v>
      </c>
      <c r="BA536" s="158">
        <v>0</v>
      </c>
      <c r="BB536" s="158">
        <v>0</v>
      </c>
      <c r="BC536" s="158">
        <v>0</v>
      </c>
      <c r="BD536" s="158">
        <v>0</v>
      </c>
      <c r="BE536" s="158">
        <v>0</v>
      </c>
      <c r="BF536" s="160">
        <v>0</v>
      </c>
      <c r="BG536" s="383">
        <v>2023</v>
      </c>
      <c r="BH536" s="383">
        <v>1</v>
      </c>
      <c r="BI536" s="383">
        <v>19</v>
      </c>
      <c r="BK536" s="147" t="str">
        <f>IF(R536=SUM(Z536,AH536,AP536,AX536,BF536),"○","×")</f>
        <v>○</v>
      </c>
    </row>
    <row r="537" spans="1:63" x14ac:dyDescent="0.2">
      <c r="A537" s="428">
        <v>1743</v>
      </c>
      <c r="B537" s="429"/>
      <c r="C537" s="430"/>
      <c r="D537" s="429"/>
      <c r="E537" s="430"/>
      <c r="F537" s="429"/>
      <c r="G537" s="429"/>
      <c r="H537" s="430"/>
      <c r="I537" s="429"/>
      <c r="J537" s="429"/>
      <c r="K537" s="429"/>
      <c r="L537" s="383"/>
      <c r="M537" s="383" t="s">
        <v>413</v>
      </c>
      <c r="N537" s="383" t="s">
        <v>323</v>
      </c>
      <c r="O537" s="383" t="s">
        <v>414</v>
      </c>
      <c r="P537" s="383" t="s">
        <v>970</v>
      </c>
      <c r="Q537" s="383"/>
      <c r="R537" s="431">
        <v>112000</v>
      </c>
      <c r="S537" s="158">
        <v>0</v>
      </c>
      <c r="T537" s="158">
        <v>0</v>
      </c>
      <c r="U537" s="158">
        <v>0</v>
      </c>
      <c r="V537" s="158">
        <v>0</v>
      </c>
      <c r="W537" s="158">
        <v>0</v>
      </c>
      <c r="X537" s="158">
        <v>0</v>
      </c>
      <c r="Y537" s="158">
        <v>0</v>
      </c>
      <c r="Z537" s="158">
        <v>0</v>
      </c>
      <c r="AA537" s="432">
        <v>0</v>
      </c>
      <c r="AB537" s="432">
        <v>0</v>
      </c>
      <c r="AC537" s="432">
        <v>0</v>
      </c>
      <c r="AD537" s="432">
        <v>0</v>
      </c>
      <c r="AE537" s="432">
        <v>0</v>
      </c>
      <c r="AF537" s="432">
        <v>0</v>
      </c>
      <c r="AG537" s="432">
        <v>0</v>
      </c>
      <c r="AH537" s="432">
        <v>0</v>
      </c>
      <c r="AI537" s="158">
        <v>112113</v>
      </c>
      <c r="AJ537" s="158">
        <v>0</v>
      </c>
      <c r="AK537" s="158">
        <v>112113</v>
      </c>
      <c r="AL537" s="158">
        <v>112113</v>
      </c>
      <c r="AM537" s="158">
        <v>4600800</v>
      </c>
      <c r="AN537" s="158">
        <v>112113</v>
      </c>
      <c r="AO537" s="158">
        <v>112113</v>
      </c>
      <c r="AP537" s="158">
        <v>112000</v>
      </c>
      <c r="AQ537" s="432">
        <v>0</v>
      </c>
      <c r="AR537" s="432">
        <v>0</v>
      </c>
      <c r="AS537" s="432">
        <v>0</v>
      </c>
      <c r="AT537" s="432">
        <v>0</v>
      </c>
      <c r="AU537" s="432">
        <v>0</v>
      </c>
      <c r="AV537" s="432">
        <v>0</v>
      </c>
      <c r="AW537" s="432">
        <v>0</v>
      </c>
      <c r="AX537" s="432">
        <v>0</v>
      </c>
      <c r="AY537" s="158">
        <v>0</v>
      </c>
      <c r="AZ537" s="158">
        <v>0</v>
      </c>
      <c r="BA537" s="158">
        <v>0</v>
      </c>
      <c r="BB537" s="158">
        <v>0</v>
      </c>
      <c r="BC537" s="158">
        <v>0</v>
      </c>
      <c r="BD537" s="158">
        <v>0</v>
      </c>
      <c r="BE537" s="158">
        <v>0</v>
      </c>
      <c r="BF537" s="160">
        <v>0</v>
      </c>
      <c r="BG537" s="383">
        <v>2023</v>
      </c>
      <c r="BH537" s="383">
        <v>1</v>
      </c>
      <c r="BI537" s="383">
        <v>19</v>
      </c>
      <c r="BK537" s="147" t="str">
        <f>IF(R537=SUM(Z537,AH537,AP537,AX537,BF537),"○","×")</f>
        <v>○</v>
      </c>
    </row>
    <row r="538" spans="1:63" x14ac:dyDescent="0.2">
      <c r="A538" s="428">
        <v>1744</v>
      </c>
      <c r="B538" s="429"/>
      <c r="C538" s="430"/>
      <c r="D538" s="429"/>
      <c r="E538" s="430"/>
      <c r="F538" s="429"/>
      <c r="G538" s="429"/>
      <c r="H538" s="430"/>
      <c r="I538" s="429"/>
      <c r="J538" s="429"/>
      <c r="K538" s="429"/>
      <c r="L538" s="383"/>
      <c r="M538" s="383" t="s">
        <v>918</v>
      </c>
      <c r="N538" s="383" t="s">
        <v>335</v>
      </c>
      <c r="O538" s="383" t="s">
        <v>380</v>
      </c>
      <c r="P538" s="383" t="s">
        <v>970</v>
      </c>
      <c r="Q538" s="383"/>
      <c r="R538" s="431">
        <v>95000</v>
      </c>
      <c r="S538" s="158">
        <v>0</v>
      </c>
      <c r="T538" s="158">
        <v>0</v>
      </c>
      <c r="U538" s="158">
        <v>0</v>
      </c>
      <c r="V538" s="158">
        <v>0</v>
      </c>
      <c r="W538" s="158">
        <v>0</v>
      </c>
      <c r="X538" s="158">
        <v>0</v>
      </c>
      <c r="Y538" s="158">
        <v>0</v>
      </c>
      <c r="Z538" s="158">
        <v>0</v>
      </c>
      <c r="AA538" s="432">
        <v>0</v>
      </c>
      <c r="AB538" s="432">
        <v>0</v>
      </c>
      <c r="AC538" s="432">
        <v>0</v>
      </c>
      <c r="AD538" s="432">
        <v>0</v>
      </c>
      <c r="AE538" s="432">
        <v>0</v>
      </c>
      <c r="AF538" s="432">
        <v>0</v>
      </c>
      <c r="AG538" s="432">
        <v>0</v>
      </c>
      <c r="AH538" s="432">
        <v>0</v>
      </c>
      <c r="AI538" s="158">
        <v>95875</v>
      </c>
      <c r="AJ538" s="158">
        <v>0</v>
      </c>
      <c r="AK538" s="158">
        <v>95875</v>
      </c>
      <c r="AL538" s="158">
        <v>95875</v>
      </c>
      <c r="AM538" s="158">
        <v>1036800</v>
      </c>
      <c r="AN538" s="158">
        <v>95875</v>
      </c>
      <c r="AO538" s="158">
        <v>95875</v>
      </c>
      <c r="AP538" s="158">
        <v>95000</v>
      </c>
      <c r="AQ538" s="432">
        <v>0</v>
      </c>
      <c r="AR538" s="432">
        <v>0</v>
      </c>
      <c r="AS538" s="432">
        <v>0</v>
      </c>
      <c r="AT538" s="432">
        <v>0</v>
      </c>
      <c r="AU538" s="432">
        <v>0</v>
      </c>
      <c r="AV538" s="432">
        <v>0</v>
      </c>
      <c r="AW538" s="432">
        <v>0</v>
      </c>
      <c r="AX538" s="432">
        <v>0</v>
      </c>
      <c r="AY538" s="158">
        <v>0</v>
      </c>
      <c r="AZ538" s="158">
        <v>0</v>
      </c>
      <c r="BA538" s="158">
        <v>0</v>
      </c>
      <c r="BB538" s="158">
        <v>0</v>
      </c>
      <c r="BC538" s="158">
        <v>0</v>
      </c>
      <c r="BD538" s="158">
        <v>0</v>
      </c>
      <c r="BE538" s="158">
        <v>0</v>
      </c>
      <c r="BF538" s="160">
        <v>0</v>
      </c>
      <c r="BG538" s="383">
        <v>2023</v>
      </c>
      <c r="BH538" s="383">
        <v>1</v>
      </c>
      <c r="BI538" s="383">
        <v>19</v>
      </c>
      <c r="BK538" s="147" t="str">
        <f>IF(R538=SUM(Z538,AH538,AP538,AX538,BF538),"○","×")</f>
        <v>○</v>
      </c>
    </row>
    <row r="539" spans="1:63" x14ac:dyDescent="0.2">
      <c r="A539" s="428">
        <v>1745</v>
      </c>
      <c r="B539" s="429"/>
      <c r="C539" s="430"/>
      <c r="D539" s="429"/>
      <c r="E539" s="430"/>
      <c r="F539" s="429"/>
      <c r="G539" s="429"/>
      <c r="H539" s="430"/>
      <c r="I539" s="429"/>
      <c r="J539" s="429"/>
      <c r="K539" s="429"/>
      <c r="L539" s="383"/>
      <c r="M539" s="383" t="s">
        <v>633</v>
      </c>
      <c r="N539" s="383" t="s">
        <v>323</v>
      </c>
      <c r="O539" s="383" t="s">
        <v>634</v>
      </c>
      <c r="P539" s="383" t="s">
        <v>970</v>
      </c>
      <c r="Q539" s="383"/>
      <c r="R539" s="431">
        <v>89000</v>
      </c>
      <c r="S539" s="158">
        <v>0</v>
      </c>
      <c r="T539" s="158">
        <v>0</v>
      </c>
      <c r="U539" s="158">
        <v>0</v>
      </c>
      <c r="V539" s="158">
        <v>0</v>
      </c>
      <c r="W539" s="158">
        <v>0</v>
      </c>
      <c r="X539" s="158">
        <v>0</v>
      </c>
      <c r="Y539" s="158">
        <v>0</v>
      </c>
      <c r="Z539" s="158">
        <v>0</v>
      </c>
      <c r="AA539" s="432">
        <v>0</v>
      </c>
      <c r="AB539" s="432">
        <v>0</v>
      </c>
      <c r="AC539" s="432">
        <v>0</v>
      </c>
      <c r="AD539" s="432">
        <v>0</v>
      </c>
      <c r="AE539" s="432">
        <v>0</v>
      </c>
      <c r="AF539" s="432">
        <v>0</v>
      </c>
      <c r="AG539" s="432">
        <v>0</v>
      </c>
      <c r="AH539" s="432">
        <v>0</v>
      </c>
      <c r="AI539" s="158">
        <v>89408</v>
      </c>
      <c r="AJ539" s="158">
        <v>0</v>
      </c>
      <c r="AK539" s="158">
        <v>89408</v>
      </c>
      <c r="AL539" s="158">
        <v>89408</v>
      </c>
      <c r="AM539" s="158">
        <v>3931200</v>
      </c>
      <c r="AN539" s="158">
        <v>89408</v>
      </c>
      <c r="AO539" s="158">
        <v>89408</v>
      </c>
      <c r="AP539" s="158">
        <v>89000</v>
      </c>
      <c r="AQ539" s="432">
        <v>0</v>
      </c>
      <c r="AR539" s="432">
        <v>0</v>
      </c>
      <c r="AS539" s="432">
        <v>0</v>
      </c>
      <c r="AT539" s="432">
        <v>0</v>
      </c>
      <c r="AU539" s="432">
        <v>0</v>
      </c>
      <c r="AV539" s="432">
        <v>0</v>
      </c>
      <c r="AW539" s="432">
        <v>0</v>
      </c>
      <c r="AX539" s="432">
        <v>0</v>
      </c>
      <c r="AY539" s="158">
        <v>0</v>
      </c>
      <c r="AZ539" s="158">
        <v>0</v>
      </c>
      <c r="BA539" s="158">
        <v>0</v>
      </c>
      <c r="BB539" s="158">
        <v>0</v>
      </c>
      <c r="BC539" s="158">
        <v>0</v>
      </c>
      <c r="BD539" s="158">
        <v>0</v>
      </c>
      <c r="BE539" s="158">
        <v>0</v>
      </c>
      <c r="BF539" s="160">
        <v>0</v>
      </c>
      <c r="BG539" s="383">
        <v>2023</v>
      </c>
      <c r="BH539" s="383">
        <v>1</v>
      </c>
      <c r="BI539" s="383">
        <v>19</v>
      </c>
      <c r="BK539" s="147" t="str">
        <f>IF(R539=SUM(Z539,AH539,AP539,AX539,BF539),"○","×")</f>
        <v>○</v>
      </c>
    </row>
    <row r="540" spans="1:63" x14ac:dyDescent="0.2">
      <c r="A540" s="428">
        <v>1746</v>
      </c>
      <c r="B540" s="429"/>
      <c r="C540" s="430"/>
      <c r="D540" s="429"/>
      <c r="E540" s="430"/>
      <c r="F540" s="429"/>
      <c r="G540" s="429"/>
      <c r="H540" s="430"/>
      <c r="I540" s="429"/>
      <c r="J540" s="429"/>
      <c r="K540" s="429"/>
      <c r="L540" s="383"/>
      <c r="M540" s="383" t="s">
        <v>461</v>
      </c>
      <c r="N540" s="383" t="s">
        <v>323</v>
      </c>
      <c r="O540" s="383" t="s">
        <v>462</v>
      </c>
      <c r="P540" s="383" t="s">
        <v>970</v>
      </c>
      <c r="Q540" s="383"/>
      <c r="R540" s="431">
        <v>639000</v>
      </c>
      <c r="S540" s="158">
        <v>0</v>
      </c>
      <c r="T540" s="158">
        <v>0</v>
      </c>
      <c r="U540" s="158">
        <v>0</v>
      </c>
      <c r="V540" s="158">
        <v>0</v>
      </c>
      <c r="W540" s="158">
        <v>0</v>
      </c>
      <c r="X540" s="158">
        <v>0</v>
      </c>
      <c r="Y540" s="158">
        <v>0</v>
      </c>
      <c r="Z540" s="158">
        <v>0</v>
      </c>
      <c r="AA540" s="432">
        <v>0</v>
      </c>
      <c r="AB540" s="432">
        <v>0</v>
      </c>
      <c r="AC540" s="432">
        <v>0</v>
      </c>
      <c r="AD540" s="432">
        <v>0</v>
      </c>
      <c r="AE540" s="432">
        <v>0</v>
      </c>
      <c r="AF540" s="432">
        <v>0</v>
      </c>
      <c r="AG540" s="432">
        <v>0</v>
      </c>
      <c r="AH540" s="432">
        <v>0</v>
      </c>
      <c r="AI540" s="158">
        <v>639320</v>
      </c>
      <c r="AJ540" s="158">
        <v>0</v>
      </c>
      <c r="AK540" s="158">
        <v>639320</v>
      </c>
      <c r="AL540" s="158">
        <v>639320</v>
      </c>
      <c r="AM540" s="158">
        <v>1566000</v>
      </c>
      <c r="AN540" s="158">
        <v>639320</v>
      </c>
      <c r="AO540" s="158">
        <v>639320</v>
      </c>
      <c r="AP540" s="158">
        <v>639000</v>
      </c>
      <c r="AQ540" s="432">
        <v>0</v>
      </c>
      <c r="AR540" s="432">
        <v>0</v>
      </c>
      <c r="AS540" s="432">
        <v>0</v>
      </c>
      <c r="AT540" s="432">
        <v>0</v>
      </c>
      <c r="AU540" s="432">
        <v>0</v>
      </c>
      <c r="AV540" s="432">
        <v>0</v>
      </c>
      <c r="AW540" s="432">
        <v>0</v>
      </c>
      <c r="AX540" s="432">
        <v>0</v>
      </c>
      <c r="AY540" s="158">
        <v>0</v>
      </c>
      <c r="AZ540" s="158">
        <v>0</v>
      </c>
      <c r="BA540" s="158">
        <v>0</v>
      </c>
      <c r="BB540" s="158">
        <v>0</v>
      </c>
      <c r="BC540" s="158">
        <v>0</v>
      </c>
      <c r="BD540" s="158">
        <v>0</v>
      </c>
      <c r="BE540" s="158">
        <v>0</v>
      </c>
      <c r="BF540" s="160">
        <v>0</v>
      </c>
      <c r="BG540" s="383">
        <v>2023</v>
      </c>
      <c r="BH540" s="383">
        <v>1</v>
      </c>
      <c r="BI540" s="383">
        <v>19</v>
      </c>
      <c r="BK540" s="147" t="str">
        <f>IF(R540=SUM(Z540,AH540,AP540,AX540,BF540),"○","×")</f>
        <v>○</v>
      </c>
    </row>
    <row r="541" spans="1:63" x14ac:dyDescent="0.2">
      <c r="A541" s="428">
        <v>1747</v>
      </c>
      <c r="B541" s="429"/>
      <c r="C541" s="430"/>
      <c r="D541" s="429"/>
      <c r="E541" s="430"/>
      <c r="F541" s="429"/>
      <c r="G541" s="429"/>
      <c r="H541" s="430"/>
      <c r="I541" s="429"/>
      <c r="J541" s="429"/>
      <c r="K541" s="429"/>
      <c r="L541" s="383"/>
      <c r="M541" s="383" t="s">
        <v>581</v>
      </c>
      <c r="N541" s="383" t="s">
        <v>323</v>
      </c>
      <c r="O541" s="383" t="s">
        <v>582</v>
      </c>
      <c r="P541" s="383" t="s">
        <v>970</v>
      </c>
      <c r="Q541" s="383"/>
      <c r="R541" s="431">
        <v>627000</v>
      </c>
      <c r="S541" s="158">
        <v>0</v>
      </c>
      <c r="T541" s="158">
        <v>0</v>
      </c>
      <c r="U541" s="158">
        <v>0</v>
      </c>
      <c r="V541" s="158">
        <v>0</v>
      </c>
      <c r="W541" s="158">
        <v>0</v>
      </c>
      <c r="X541" s="158">
        <v>0</v>
      </c>
      <c r="Y541" s="158">
        <v>0</v>
      </c>
      <c r="Z541" s="158">
        <v>0</v>
      </c>
      <c r="AA541" s="432">
        <v>0</v>
      </c>
      <c r="AB541" s="432">
        <v>0</v>
      </c>
      <c r="AC541" s="432">
        <v>0</v>
      </c>
      <c r="AD541" s="432">
        <v>0</v>
      </c>
      <c r="AE541" s="432">
        <v>0</v>
      </c>
      <c r="AF541" s="432">
        <v>0</v>
      </c>
      <c r="AG541" s="432">
        <v>0</v>
      </c>
      <c r="AH541" s="432">
        <v>0</v>
      </c>
      <c r="AI541" s="158">
        <v>627000</v>
      </c>
      <c r="AJ541" s="158">
        <v>0</v>
      </c>
      <c r="AK541" s="158">
        <v>627000</v>
      </c>
      <c r="AL541" s="158">
        <v>627000</v>
      </c>
      <c r="AM541" s="158">
        <v>3153600</v>
      </c>
      <c r="AN541" s="158">
        <v>627000</v>
      </c>
      <c r="AO541" s="158">
        <v>627000</v>
      </c>
      <c r="AP541" s="158">
        <v>627000</v>
      </c>
      <c r="AQ541" s="432">
        <v>0</v>
      </c>
      <c r="AR541" s="432">
        <v>0</v>
      </c>
      <c r="AS541" s="432">
        <v>0</v>
      </c>
      <c r="AT541" s="432">
        <v>0</v>
      </c>
      <c r="AU541" s="432">
        <v>0</v>
      </c>
      <c r="AV541" s="432">
        <v>0</v>
      </c>
      <c r="AW541" s="432">
        <v>0</v>
      </c>
      <c r="AX541" s="432">
        <v>0</v>
      </c>
      <c r="AY541" s="158">
        <v>0</v>
      </c>
      <c r="AZ541" s="158">
        <v>0</v>
      </c>
      <c r="BA541" s="158">
        <v>0</v>
      </c>
      <c r="BB541" s="158">
        <v>0</v>
      </c>
      <c r="BC541" s="158">
        <v>0</v>
      </c>
      <c r="BD541" s="158">
        <v>0</v>
      </c>
      <c r="BE541" s="158">
        <v>0</v>
      </c>
      <c r="BF541" s="160">
        <v>0</v>
      </c>
      <c r="BG541" s="383">
        <v>2023</v>
      </c>
      <c r="BH541" s="383">
        <v>1</v>
      </c>
      <c r="BI541" s="383">
        <v>19</v>
      </c>
      <c r="BK541" s="147" t="str">
        <f>IF(R541=SUM(Z541,AH541,AP541,AX541,BF541),"○","×")</f>
        <v>○</v>
      </c>
    </row>
    <row r="542" spans="1:63" x14ac:dyDescent="0.2">
      <c r="A542" s="428">
        <v>1748</v>
      </c>
      <c r="B542" s="429"/>
      <c r="C542" s="430"/>
      <c r="D542" s="429"/>
      <c r="E542" s="430"/>
      <c r="F542" s="429"/>
      <c r="G542" s="429"/>
      <c r="H542" s="430"/>
      <c r="I542" s="429"/>
      <c r="J542" s="429"/>
      <c r="K542" s="429"/>
      <c r="L542" s="383"/>
      <c r="M542" s="383" t="s">
        <v>655</v>
      </c>
      <c r="N542" s="383" t="s">
        <v>343</v>
      </c>
      <c r="O542" s="383" t="s">
        <v>336</v>
      </c>
      <c r="P542" s="383" t="s">
        <v>970</v>
      </c>
      <c r="Q542" s="383"/>
      <c r="R542" s="431">
        <v>342000</v>
      </c>
      <c r="S542" s="158">
        <v>0</v>
      </c>
      <c r="T542" s="158">
        <v>0</v>
      </c>
      <c r="U542" s="158">
        <v>0</v>
      </c>
      <c r="V542" s="158">
        <v>0</v>
      </c>
      <c r="W542" s="158">
        <v>0</v>
      </c>
      <c r="X542" s="158">
        <v>0</v>
      </c>
      <c r="Y542" s="158">
        <v>0</v>
      </c>
      <c r="Z542" s="158">
        <v>0</v>
      </c>
      <c r="AA542" s="432">
        <v>0</v>
      </c>
      <c r="AB542" s="432">
        <v>0</v>
      </c>
      <c r="AC542" s="432">
        <v>0</v>
      </c>
      <c r="AD542" s="432">
        <v>0</v>
      </c>
      <c r="AE542" s="432">
        <v>0</v>
      </c>
      <c r="AF542" s="432">
        <v>0</v>
      </c>
      <c r="AG542" s="432">
        <v>0</v>
      </c>
      <c r="AH542" s="432">
        <v>0</v>
      </c>
      <c r="AI542" s="158">
        <v>342320</v>
      </c>
      <c r="AJ542" s="158">
        <v>0</v>
      </c>
      <c r="AK542" s="158">
        <v>342320</v>
      </c>
      <c r="AL542" s="158">
        <v>342320</v>
      </c>
      <c r="AM542" s="158">
        <v>2592000</v>
      </c>
      <c r="AN542" s="158">
        <v>342320</v>
      </c>
      <c r="AO542" s="158">
        <v>342320</v>
      </c>
      <c r="AP542" s="158">
        <v>342000</v>
      </c>
      <c r="AQ542" s="432">
        <v>0</v>
      </c>
      <c r="AR542" s="432">
        <v>0</v>
      </c>
      <c r="AS542" s="432">
        <v>0</v>
      </c>
      <c r="AT542" s="432">
        <v>0</v>
      </c>
      <c r="AU542" s="432">
        <v>0</v>
      </c>
      <c r="AV542" s="432">
        <v>0</v>
      </c>
      <c r="AW542" s="432">
        <v>0</v>
      </c>
      <c r="AX542" s="432">
        <v>0</v>
      </c>
      <c r="AY542" s="158">
        <v>0</v>
      </c>
      <c r="AZ542" s="158">
        <v>0</v>
      </c>
      <c r="BA542" s="158">
        <v>0</v>
      </c>
      <c r="BB542" s="158">
        <v>0</v>
      </c>
      <c r="BC542" s="158">
        <v>0</v>
      </c>
      <c r="BD542" s="158">
        <v>0</v>
      </c>
      <c r="BE542" s="158">
        <v>0</v>
      </c>
      <c r="BF542" s="160">
        <v>0</v>
      </c>
      <c r="BG542" s="383">
        <v>2023</v>
      </c>
      <c r="BH542" s="383">
        <v>1</v>
      </c>
      <c r="BI542" s="383">
        <v>19</v>
      </c>
      <c r="BK542" s="147" t="str">
        <f>IF(R542=SUM(Z542,AH542,AP542,AX542,BF542),"○","×")</f>
        <v>○</v>
      </c>
    </row>
    <row r="543" spans="1:63" x14ac:dyDescent="0.2">
      <c r="A543" s="428">
        <v>1749</v>
      </c>
      <c r="B543" s="429"/>
      <c r="C543" s="430"/>
      <c r="D543" s="429"/>
      <c r="E543" s="430"/>
      <c r="F543" s="429"/>
      <c r="G543" s="429"/>
      <c r="H543" s="430"/>
      <c r="I543" s="429"/>
      <c r="J543" s="429"/>
      <c r="K543" s="429"/>
      <c r="L543" s="383"/>
      <c r="M543" s="383" t="s">
        <v>485</v>
      </c>
      <c r="N543" s="383" t="s">
        <v>483</v>
      </c>
      <c r="O543" s="383" t="s">
        <v>486</v>
      </c>
      <c r="P543" s="383" t="s">
        <v>970</v>
      </c>
      <c r="Q543" s="383"/>
      <c r="R543" s="431">
        <v>272000</v>
      </c>
      <c r="S543" s="158">
        <v>0</v>
      </c>
      <c r="T543" s="158">
        <v>0</v>
      </c>
      <c r="U543" s="158">
        <v>0</v>
      </c>
      <c r="V543" s="158">
        <v>0</v>
      </c>
      <c r="W543" s="158">
        <v>0</v>
      </c>
      <c r="X543" s="158">
        <v>0</v>
      </c>
      <c r="Y543" s="158">
        <v>0</v>
      </c>
      <c r="Z543" s="158">
        <v>0</v>
      </c>
      <c r="AA543" s="432">
        <v>0</v>
      </c>
      <c r="AB543" s="432">
        <v>0</v>
      </c>
      <c r="AC543" s="432">
        <v>0</v>
      </c>
      <c r="AD543" s="432">
        <v>0</v>
      </c>
      <c r="AE543" s="432">
        <v>0</v>
      </c>
      <c r="AF543" s="432">
        <v>0</v>
      </c>
      <c r="AG543" s="432">
        <v>0</v>
      </c>
      <c r="AH543" s="432">
        <v>0</v>
      </c>
      <c r="AI543" s="158">
        <v>272250</v>
      </c>
      <c r="AJ543" s="158">
        <v>0</v>
      </c>
      <c r="AK543" s="158">
        <v>272250</v>
      </c>
      <c r="AL543" s="158">
        <v>272250</v>
      </c>
      <c r="AM543" s="158">
        <v>561600</v>
      </c>
      <c r="AN543" s="158">
        <v>272250</v>
      </c>
      <c r="AO543" s="158">
        <v>272250</v>
      </c>
      <c r="AP543" s="158">
        <v>272000</v>
      </c>
      <c r="AQ543" s="432">
        <v>0</v>
      </c>
      <c r="AR543" s="432">
        <v>0</v>
      </c>
      <c r="AS543" s="432">
        <v>0</v>
      </c>
      <c r="AT543" s="432">
        <v>0</v>
      </c>
      <c r="AU543" s="432">
        <v>0</v>
      </c>
      <c r="AV543" s="432">
        <v>0</v>
      </c>
      <c r="AW543" s="432">
        <v>0</v>
      </c>
      <c r="AX543" s="432">
        <v>0</v>
      </c>
      <c r="AY543" s="158">
        <v>0</v>
      </c>
      <c r="AZ543" s="158">
        <v>0</v>
      </c>
      <c r="BA543" s="158">
        <v>0</v>
      </c>
      <c r="BB543" s="158">
        <v>0</v>
      </c>
      <c r="BC543" s="158">
        <v>0</v>
      </c>
      <c r="BD543" s="158">
        <v>0</v>
      </c>
      <c r="BE543" s="158">
        <v>0</v>
      </c>
      <c r="BF543" s="160">
        <v>0</v>
      </c>
      <c r="BG543" s="383">
        <v>2023</v>
      </c>
      <c r="BH543" s="383">
        <v>1</v>
      </c>
      <c r="BI543" s="383">
        <v>19</v>
      </c>
      <c r="BK543" s="147" t="str">
        <f>IF(R543=SUM(Z543,AH543,AP543,AX543,BF543),"○","×")</f>
        <v>○</v>
      </c>
    </row>
    <row r="544" spans="1:63" x14ac:dyDescent="0.2">
      <c r="A544" s="428">
        <v>1750</v>
      </c>
      <c r="B544" s="429"/>
      <c r="C544" s="430"/>
      <c r="D544" s="429"/>
      <c r="E544" s="430"/>
      <c r="F544" s="429"/>
      <c r="G544" s="429"/>
      <c r="H544" s="430"/>
      <c r="I544" s="429"/>
      <c r="J544" s="429"/>
      <c r="K544" s="429"/>
      <c r="L544" s="383"/>
      <c r="M544" s="383" t="s">
        <v>524</v>
      </c>
      <c r="N544" s="383" t="s">
        <v>367</v>
      </c>
      <c r="O544" s="383" t="s">
        <v>525</v>
      </c>
      <c r="P544" s="383" t="s">
        <v>970</v>
      </c>
      <c r="Q544" s="383"/>
      <c r="R544" s="431">
        <v>445000</v>
      </c>
      <c r="S544" s="158">
        <v>0</v>
      </c>
      <c r="T544" s="158">
        <v>0</v>
      </c>
      <c r="U544" s="158">
        <v>0</v>
      </c>
      <c r="V544" s="158">
        <v>0</v>
      </c>
      <c r="W544" s="158">
        <v>0</v>
      </c>
      <c r="X544" s="158">
        <v>0</v>
      </c>
      <c r="Y544" s="158">
        <v>0</v>
      </c>
      <c r="Z544" s="158">
        <v>0</v>
      </c>
      <c r="AA544" s="432">
        <v>0</v>
      </c>
      <c r="AB544" s="432">
        <v>0</v>
      </c>
      <c r="AC544" s="432">
        <v>0</v>
      </c>
      <c r="AD544" s="432">
        <v>0</v>
      </c>
      <c r="AE544" s="432">
        <v>0</v>
      </c>
      <c r="AF544" s="432">
        <v>0</v>
      </c>
      <c r="AG544" s="432">
        <v>0</v>
      </c>
      <c r="AH544" s="432">
        <v>0</v>
      </c>
      <c r="AI544" s="158">
        <v>445330</v>
      </c>
      <c r="AJ544" s="158">
        <v>0</v>
      </c>
      <c r="AK544" s="158">
        <v>445330</v>
      </c>
      <c r="AL544" s="158">
        <v>445330</v>
      </c>
      <c r="AM544" s="158">
        <v>864000</v>
      </c>
      <c r="AN544" s="158">
        <v>445330</v>
      </c>
      <c r="AO544" s="158">
        <v>445330</v>
      </c>
      <c r="AP544" s="158">
        <v>445000</v>
      </c>
      <c r="AQ544" s="432">
        <v>0</v>
      </c>
      <c r="AR544" s="432">
        <v>0</v>
      </c>
      <c r="AS544" s="432">
        <v>0</v>
      </c>
      <c r="AT544" s="432">
        <v>0</v>
      </c>
      <c r="AU544" s="432">
        <v>0</v>
      </c>
      <c r="AV544" s="432">
        <v>0</v>
      </c>
      <c r="AW544" s="432">
        <v>0</v>
      </c>
      <c r="AX544" s="432">
        <v>0</v>
      </c>
      <c r="AY544" s="158">
        <v>0</v>
      </c>
      <c r="AZ544" s="158">
        <v>0</v>
      </c>
      <c r="BA544" s="158">
        <v>0</v>
      </c>
      <c r="BB544" s="158">
        <v>0</v>
      </c>
      <c r="BC544" s="158">
        <v>0</v>
      </c>
      <c r="BD544" s="158">
        <v>0</v>
      </c>
      <c r="BE544" s="158">
        <v>0</v>
      </c>
      <c r="BF544" s="160">
        <v>0</v>
      </c>
      <c r="BG544" s="383">
        <v>2023</v>
      </c>
      <c r="BH544" s="383">
        <v>1</v>
      </c>
      <c r="BI544" s="383">
        <v>19</v>
      </c>
      <c r="BK544" s="147" t="str">
        <f>IF(R544=SUM(Z544,AH544,AP544,AX544,BF544),"○","×")</f>
        <v>○</v>
      </c>
    </row>
    <row r="545" spans="1:63" x14ac:dyDescent="0.2">
      <c r="A545" s="428">
        <v>1751</v>
      </c>
      <c r="B545" s="429"/>
      <c r="C545" s="430"/>
      <c r="D545" s="429"/>
      <c r="E545" s="430"/>
      <c r="F545" s="429"/>
      <c r="G545" s="429"/>
      <c r="H545" s="430"/>
      <c r="I545" s="429"/>
      <c r="J545" s="429"/>
      <c r="K545" s="429"/>
      <c r="L545" s="383"/>
      <c r="M545" s="383" t="s">
        <v>759</v>
      </c>
      <c r="N545" s="383" t="s">
        <v>323</v>
      </c>
      <c r="O545" s="383" t="s">
        <v>679</v>
      </c>
      <c r="P545" s="383" t="s">
        <v>970</v>
      </c>
      <c r="Q545" s="383"/>
      <c r="R545" s="431">
        <v>710000</v>
      </c>
      <c r="S545" s="158">
        <v>0</v>
      </c>
      <c r="T545" s="158">
        <v>0</v>
      </c>
      <c r="U545" s="158">
        <v>0</v>
      </c>
      <c r="V545" s="158">
        <v>0</v>
      </c>
      <c r="W545" s="158">
        <v>0</v>
      </c>
      <c r="X545" s="158">
        <v>0</v>
      </c>
      <c r="Y545" s="158">
        <v>0</v>
      </c>
      <c r="Z545" s="158">
        <v>0</v>
      </c>
      <c r="AA545" s="432">
        <v>0</v>
      </c>
      <c r="AB545" s="432">
        <v>0</v>
      </c>
      <c r="AC545" s="432">
        <v>0</v>
      </c>
      <c r="AD545" s="432">
        <v>0</v>
      </c>
      <c r="AE545" s="432">
        <v>0</v>
      </c>
      <c r="AF545" s="432">
        <v>0</v>
      </c>
      <c r="AG545" s="432">
        <v>0</v>
      </c>
      <c r="AH545" s="432">
        <v>0</v>
      </c>
      <c r="AI545" s="158">
        <v>710700</v>
      </c>
      <c r="AJ545" s="158">
        <v>0</v>
      </c>
      <c r="AK545" s="158">
        <v>710700</v>
      </c>
      <c r="AL545" s="158">
        <v>710700</v>
      </c>
      <c r="AM545" s="158">
        <v>1301400</v>
      </c>
      <c r="AN545" s="158">
        <v>710700</v>
      </c>
      <c r="AO545" s="158">
        <v>710700</v>
      </c>
      <c r="AP545" s="158">
        <v>710000</v>
      </c>
      <c r="AQ545" s="432">
        <v>0</v>
      </c>
      <c r="AR545" s="432">
        <v>0</v>
      </c>
      <c r="AS545" s="432">
        <v>0</v>
      </c>
      <c r="AT545" s="432">
        <v>0</v>
      </c>
      <c r="AU545" s="432">
        <v>0</v>
      </c>
      <c r="AV545" s="432">
        <v>0</v>
      </c>
      <c r="AW545" s="432">
        <v>0</v>
      </c>
      <c r="AX545" s="432">
        <v>0</v>
      </c>
      <c r="AY545" s="158">
        <v>0</v>
      </c>
      <c r="AZ545" s="158">
        <v>0</v>
      </c>
      <c r="BA545" s="158">
        <v>0</v>
      </c>
      <c r="BB545" s="158">
        <v>0</v>
      </c>
      <c r="BC545" s="158">
        <v>0</v>
      </c>
      <c r="BD545" s="158">
        <v>0</v>
      </c>
      <c r="BE545" s="158">
        <v>0</v>
      </c>
      <c r="BF545" s="160">
        <v>0</v>
      </c>
      <c r="BG545" s="383">
        <v>2023</v>
      </c>
      <c r="BH545" s="383">
        <v>1</v>
      </c>
      <c r="BI545" s="383">
        <v>19</v>
      </c>
      <c r="BK545" s="147" t="str">
        <f>IF(R545=SUM(Z545,AH545,AP545,AX545,BF545),"○","×")</f>
        <v>○</v>
      </c>
    </row>
    <row r="546" spans="1:63" x14ac:dyDescent="0.2">
      <c r="A546" s="428">
        <v>1752</v>
      </c>
      <c r="B546" s="429"/>
      <c r="C546" s="430"/>
      <c r="D546" s="429"/>
      <c r="E546" s="430"/>
      <c r="F546" s="429"/>
      <c r="G546" s="429"/>
      <c r="H546" s="430"/>
      <c r="I546" s="429"/>
      <c r="J546" s="429"/>
      <c r="K546" s="429"/>
      <c r="L546" s="383"/>
      <c r="M546" s="383" t="s">
        <v>919</v>
      </c>
      <c r="N546" s="383" t="s">
        <v>384</v>
      </c>
      <c r="O546" s="383" t="s">
        <v>920</v>
      </c>
      <c r="P546" s="383" t="s">
        <v>970</v>
      </c>
      <c r="Q546" s="383"/>
      <c r="R546" s="431">
        <v>94000</v>
      </c>
      <c r="S546" s="158">
        <v>0</v>
      </c>
      <c r="T546" s="158">
        <v>0</v>
      </c>
      <c r="U546" s="158">
        <v>0</v>
      </c>
      <c r="V546" s="158">
        <v>0</v>
      </c>
      <c r="W546" s="158">
        <v>0</v>
      </c>
      <c r="X546" s="158">
        <v>0</v>
      </c>
      <c r="Y546" s="158">
        <v>0</v>
      </c>
      <c r="Z546" s="158">
        <v>0</v>
      </c>
      <c r="AA546" s="432">
        <v>0</v>
      </c>
      <c r="AB546" s="432">
        <v>0</v>
      </c>
      <c r="AC546" s="432">
        <v>0</v>
      </c>
      <c r="AD546" s="432">
        <v>0</v>
      </c>
      <c r="AE546" s="432">
        <v>0</v>
      </c>
      <c r="AF546" s="432">
        <v>0</v>
      </c>
      <c r="AG546" s="432">
        <v>0</v>
      </c>
      <c r="AH546" s="432">
        <v>0</v>
      </c>
      <c r="AI546" s="158">
        <v>94718</v>
      </c>
      <c r="AJ546" s="158">
        <v>0</v>
      </c>
      <c r="AK546" s="158">
        <v>94718</v>
      </c>
      <c r="AL546" s="158">
        <v>94718</v>
      </c>
      <c r="AM546" s="158">
        <v>1296000</v>
      </c>
      <c r="AN546" s="158">
        <v>94718</v>
      </c>
      <c r="AO546" s="158">
        <v>94718</v>
      </c>
      <c r="AP546" s="158">
        <v>94000</v>
      </c>
      <c r="AQ546" s="432">
        <v>0</v>
      </c>
      <c r="AR546" s="432">
        <v>0</v>
      </c>
      <c r="AS546" s="432">
        <v>0</v>
      </c>
      <c r="AT546" s="432">
        <v>0</v>
      </c>
      <c r="AU546" s="432">
        <v>0</v>
      </c>
      <c r="AV546" s="432">
        <v>0</v>
      </c>
      <c r="AW546" s="432">
        <v>0</v>
      </c>
      <c r="AX546" s="432">
        <v>0</v>
      </c>
      <c r="AY546" s="158">
        <v>0</v>
      </c>
      <c r="AZ546" s="158">
        <v>0</v>
      </c>
      <c r="BA546" s="158">
        <v>0</v>
      </c>
      <c r="BB546" s="158">
        <v>0</v>
      </c>
      <c r="BC546" s="158">
        <v>0</v>
      </c>
      <c r="BD546" s="158">
        <v>0</v>
      </c>
      <c r="BE546" s="158">
        <v>0</v>
      </c>
      <c r="BF546" s="160">
        <v>0</v>
      </c>
      <c r="BG546" s="383">
        <v>2023</v>
      </c>
      <c r="BH546" s="383">
        <v>1</v>
      </c>
      <c r="BI546" s="383">
        <v>19</v>
      </c>
      <c r="BK546" s="147" t="str">
        <f>IF(R546=SUM(Z546,AH546,AP546,AX546,BF546),"○","×")</f>
        <v>○</v>
      </c>
    </row>
    <row r="547" spans="1:63" x14ac:dyDescent="0.2">
      <c r="A547" s="428">
        <v>1753</v>
      </c>
      <c r="B547" s="429"/>
      <c r="C547" s="430"/>
      <c r="D547" s="429"/>
      <c r="E547" s="430"/>
      <c r="F547" s="429"/>
      <c r="G547" s="429"/>
      <c r="H547" s="430"/>
      <c r="I547" s="429"/>
      <c r="J547" s="429"/>
      <c r="K547" s="429"/>
      <c r="L547" s="383"/>
      <c r="M547" s="383" t="s">
        <v>616</v>
      </c>
      <c r="N547" s="383" t="s">
        <v>323</v>
      </c>
      <c r="O547" s="383" t="s">
        <v>617</v>
      </c>
      <c r="P547" s="383" t="s">
        <v>970</v>
      </c>
      <c r="Q547" s="383"/>
      <c r="R547" s="431">
        <v>364000</v>
      </c>
      <c r="S547" s="158">
        <v>0</v>
      </c>
      <c r="T547" s="158">
        <v>0</v>
      </c>
      <c r="U547" s="158">
        <v>0</v>
      </c>
      <c r="V547" s="158">
        <v>0</v>
      </c>
      <c r="W547" s="158">
        <v>0</v>
      </c>
      <c r="X547" s="158">
        <v>0</v>
      </c>
      <c r="Y547" s="158">
        <v>0</v>
      </c>
      <c r="Z547" s="158">
        <v>0</v>
      </c>
      <c r="AA547" s="432">
        <v>0</v>
      </c>
      <c r="AB547" s="432">
        <v>0</v>
      </c>
      <c r="AC547" s="432">
        <v>0</v>
      </c>
      <c r="AD547" s="432">
        <v>0</v>
      </c>
      <c r="AE547" s="432">
        <v>0</v>
      </c>
      <c r="AF547" s="432">
        <v>0</v>
      </c>
      <c r="AG547" s="432">
        <v>0</v>
      </c>
      <c r="AH547" s="432">
        <v>0</v>
      </c>
      <c r="AI547" s="158">
        <v>364386</v>
      </c>
      <c r="AJ547" s="158">
        <v>0</v>
      </c>
      <c r="AK547" s="158">
        <v>364386</v>
      </c>
      <c r="AL547" s="158">
        <v>364386</v>
      </c>
      <c r="AM547" s="158">
        <v>1576800</v>
      </c>
      <c r="AN547" s="158">
        <v>364386</v>
      </c>
      <c r="AO547" s="158">
        <v>364386</v>
      </c>
      <c r="AP547" s="158">
        <v>364000</v>
      </c>
      <c r="AQ547" s="432">
        <v>0</v>
      </c>
      <c r="AR547" s="432">
        <v>0</v>
      </c>
      <c r="AS547" s="432">
        <v>0</v>
      </c>
      <c r="AT547" s="432">
        <v>0</v>
      </c>
      <c r="AU547" s="432">
        <v>0</v>
      </c>
      <c r="AV547" s="432">
        <v>0</v>
      </c>
      <c r="AW547" s="432">
        <v>0</v>
      </c>
      <c r="AX547" s="432">
        <v>0</v>
      </c>
      <c r="AY547" s="158">
        <v>0</v>
      </c>
      <c r="AZ547" s="158">
        <v>0</v>
      </c>
      <c r="BA547" s="158">
        <v>0</v>
      </c>
      <c r="BB547" s="158">
        <v>0</v>
      </c>
      <c r="BC547" s="158">
        <v>0</v>
      </c>
      <c r="BD547" s="158">
        <v>0</v>
      </c>
      <c r="BE547" s="158">
        <v>0</v>
      </c>
      <c r="BF547" s="160">
        <v>0</v>
      </c>
      <c r="BG547" s="383">
        <v>2023</v>
      </c>
      <c r="BH547" s="383">
        <v>1</v>
      </c>
      <c r="BI547" s="383">
        <v>19</v>
      </c>
      <c r="BK547" s="147" t="str">
        <f>IF(R547=SUM(Z547,AH547,AP547,AX547,BF547),"○","×")</f>
        <v>○</v>
      </c>
    </row>
    <row r="548" spans="1:63" x14ac:dyDescent="0.2">
      <c r="A548" s="428">
        <v>1754</v>
      </c>
      <c r="B548" s="429"/>
      <c r="C548" s="430"/>
      <c r="D548" s="429"/>
      <c r="E548" s="430"/>
      <c r="F548" s="429"/>
      <c r="G548" s="429"/>
      <c r="H548" s="430"/>
      <c r="I548" s="429"/>
      <c r="J548" s="429"/>
      <c r="K548" s="429"/>
      <c r="L548" s="383"/>
      <c r="M548" s="383" t="s">
        <v>581</v>
      </c>
      <c r="N548" s="383" t="s">
        <v>323</v>
      </c>
      <c r="O548" s="383" t="s">
        <v>582</v>
      </c>
      <c r="P548" s="383" t="s">
        <v>970</v>
      </c>
      <c r="Q548" s="383"/>
      <c r="R548" s="431">
        <v>1586000</v>
      </c>
      <c r="S548" s="158">
        <v>0</v>
      </c>
      <c r="T548" s="158">
        <v>0</v>
      </c>
      <c r="U548" s="158">
        <v>0</v>
      </c>
      <c r="V548" s="158">
        <v>0</v>
      </c>
      <c r="W548" s="158">
        <v>0</v>
      </c>
      <c r="X548" s="158">
        <v>0</v>
      </c>
      <c r="Y548" s="158">
        <v>0</v>
      </c>
      <c r="Z548" s="158">
        <v>0</v>
      </c>
      <c r="AA548" s="432">
        <v>0</v>
      </c>
      <c r="AB548" s="432">
        <v>0</v>
      </c>
      <c r="AC548" s="432">
        <v>0</v>
      </c>
      <c r="AD548" s="432">
        <v>0</v>
      </c>
      <c r="AE548" s="432">
        <v>0</v>
      </c>
      <c r="AF548" s="432">
        <v>0</v>
      </c>
      <c r="AG548" s="432">
        <v>0</v>
      </c>
      <c r="AH548" s="432">
        <v>0</v>
      </c>
      <c r="AI548" s="158">
        <v>1586200</v>
      </c>
      <c r="AJ548" s="158">
        <v>0</v>
      </c>
      <c r="AK548" s="158">
        <v>1586200</v>
      </c>
      <c r="AL548" s="158">
        <v>1586200</v>
      </c>
      <c r="AM548" s="158">
        <v>1965600</v>
      </c>
      <c r="AN548" s="158">
        <v>1586200</v>
      </c>
      <c r="AO548" s="158">
        <v>1586200</v>
      </c>
      <c r="AP548" s="158">
        <v>1586000</v>
      </c>
      <c r="AQ548" s="432">
        <v>0</v>
      </c>
      <c r="AR548" s="432">
        <v>0</v>
      </c>
      <c r="AS548" s="432">
        <v>0</v>
      </c>
      <c r="AT548" s="432">
        <v>0</v>
      </c>
      <c r="AU548" s="432">
        <v>0</v>
      </c>
      <c r="AV548" s="432">
        <v>0</v>
      </c>
      <c r="AW548" s="432">
        <v>0</v>
      </c>
      <c r="AX548" s="432">
        <v>0</v>
      </c>
      <c r="AY548" s="158">
        <v>0</v>
      </c>
      <c r="AZ548" s="158">
        <v>0</v>
      </c>
      <c r="BA548" s="158">
        <v>0</v>
      </c>
      <c r="BB548" s="158">
        <v>0</v>
      </c>
      <c r="BC548" s="158">
        <v>0</v>
      </c>
      <c r="BD548" s="158">
        <v>0</v>
      </c>
      <c r="BE548" s="158">
        <v>0</v>
      </c>
      <c r="BF548" s="160">
        <v>0</v>
      </c>
      <c r="BG548" s="383">
        <v>2023</v>
      </c>
      <c r="BH548" s="383">
        <v>1</v>
      </c>
      <c r="BI548" s="383">
        <v>19</v>
      </c>
      <c r="BK548" s="147" t="str">
        <f>IF(R548=SUM(Z548,AH548,AP548,AX548,BF548),"○","×")</f>
        <v>○</v>
      </c>
    </row>
    <row r="549" spans="1:63" x14ac:dyDescent="0.2">
      <c r="A549" s="428">
        <v>1755</v>
      </c>
      <c r="B549" s="429"/>
      <c r="C549" s="430"/>
      <c r="D549" s="429"/>
      <c r="E549" s="430"/>
      <c r="F549" s="429"/>
      <c r="G549" s="429"/>
      <c r="H549" s="430"/>
      <c r="I549" s="429"/>
      <c r="J549" s="429"/>
      <c r="K549" s="429"/>
      <c r="L549" s="383"/>
      <c r="M549" s="383" t="s">
        <v>581</v>
      </c>
      <c r="N549" s="383" t="s">
        <v>323</v>
      </c>
      <c r="O549" s="383" t="s">
        <v>582</v>
      </c>
      <c r="P549" s="383" t="s">
        <v>970</v>
      </c>
      <c r="Q549" s="383"/>
      <c r="R549" s="431">
        <v>1403000</v>
      </c>
      <c r="S549" s="158">
        <v>0</v>
      </c>
      <c r="T549" s="158">
        <v>0</v>
      </c>
      <c r="U549" s="158">
        <v>0</v>
      </c>
      <c r="V549" s="158">
        <v>0</v>
      </c>
      <c r="W549" s="158">
        <v>0</v>
      </c>
      <c r="X549" s="158">
        <v>0</v>
      </c>
      <c r="Y549" s="158">
        <v>0</v>
      </c>
      <c r="Z549" s="158">
        <v>0</v>
      </c>
      <c r="AA549" s="432">
        <v>0</v>
      </c>
      <c r="AB549" s="432">
        <v>0</v>
      </c>
      <c r="AC549" s="432">
        <v>0</v>
      </c>
      <c r="AD549" s="432">
        <v>0</v>
      </c>
      <c r="AE549" s="432">
        <v>0</v>
      </c>
      <c r="AF549" s="432">
        <v>0</v>
      </c>
      <c r="AG549" s="432">
        <v>0</v>
      </c>
      <c r="AH549" s="432">
        <v>0</v>
      </c>
      <c r="AI549" s="158">
        <v>1403160</v>
      </c>
      <c r="AJ549" s="158">
        <v>0</v>
      </c>
      <c r="AK549" s="158">
        <v>1403160</v>
      </c>
      <c r="AL549" s="158">
        <v>1403160</v>
      </c>
      <c r="AM549" s="158">
        <v>1965600</v>
      </c>
      <c r="AN549" s="158">
        <v>1403160</v>
      </c>
      <c r="AO549" s="158">
        <v>1403160</v>
      </c>
      <c r="AP549" s="158">
        <v>1403000</v>
      </c>
      <c r="AQ549" s="432">
        <v>0</v>
      </c>
      <c r="AR549" s="432">
        <v>0</v>
      </c>
      <c r="AS549" s="432">
        <v>0</v>
      </c>
      <c r="AT549" s="432">
        <v>0</v>
      </c>
      <c r="AU549" s="432">
        <v>0</v>
      </c>
      <c r="AV549" s="432">
        <v>0</v>
      </c>
      <c r="AW549" s="432">
        <v>0</v>
      </c>
      <c r="AX549" s="432">
        <v>0</v>
      </c>
      <c r="AY549" s="158">
        <v>0</v>
      </c>
      <c r="AZ549" s="158">
        <v>0</v>
      </c>
      <c r="BA549" s="158">
        <v>0</v>
      </c>
      <c r="BB549" s="158">
        <v>0</v>
      </c>
      <c r="BC549" s="158">
        <v>0</v>
      </c>
      <c r="BD549" s="158">
        <v>0</v>
      </c>
      <c r="BE549" s="158">
        <v>0</v>
      </c>
      <c r="BF549" s="160">
        <v>0</v>
      </c>
      <c r="BG549" s="383">
        <v>2023</v>
      </c>
      <c r="BH549" s="383">
        <v>1</v>
      </c>
      <c r="BI549" s="383">
        <v>19</v>
      </c>
      <c r="BK549" s="147" t="str">
        <f>IF(R549=SUM(Z549,AH549,AP549,AX549,BF549),"○","×")</f>
        <v>○</v>
      </c>
    </row>
    <row r="550" spans="1:63" x14ac:dyDescent="0.2">
      <c r="A550" s="428">
        <v>1756</v>
      </c>
      <c r="B550" s="429"/>
      <c r="C550" s="430"/>
      <c r="D550" s="429"/>
      <c r="E550" s="430"/>
      <c r="F550" s="429"/>
      <c r="G550" s="429"/>
      <c r="H550" s="430"/>
      <c r="I550" s="429"/>
      <c r="J550" s="429"/>
      <c r="K550" s="429"/>
      <c r="L550" s="383"/>
      <c r="M550" s="383" t="s">
        <v>750</v>
      </c>
      <c r="N550" s="383" t="s">
        <v>323</v>
      </c>
      <c r="O550" s="383" t="s">
        <v>486</v>
      </c>
      <c r="P550" s="383" t="s">
        <v>970</v>
      </c>
      <c r="Q550" s="383"/>
      <c r="R550" s="431">
        <v>842000</v>
      </c>
      <c r="S550" s="158">
        <v>0</v>
      </c>
      <c r="T550" s="158">
        <v>0</v>
      </c>
      <c r="U550" s="158">
        <v>0</v>
      </c>
      <c r="V550" s="158">
        <v>0</v>
      </c>
      <c r="W550" s="158">
        <v>0</v>
      </c>
      <c r="X550" s="158">
        <v>0</v>
      </c>
      <c r="Y550" s="158">
        <v>0</v>
      </c>
      <c r="Z550" s="158">
        <v>0</v>
      </c>
      <c r="AA550" s="432">
        <v>0</v>
      </c>
      <c r="AB550" s="432">
        <v>0</v>
      </c>
      <c r="AC550" s="432">
        <v>0</v>
      </c>
      <c r="AD550" s="432">
        <v>0</v>
      </c>
      <c r="AE550" s="432">
        <v>0</v>
      </c>
      <c r="AF550" s="432">
        <v>0</v>
      </c>
      <c r="AG550" s="432">
        <v>0</v>
      </c>
      <c r="AH550" s="432">
        <v>0</v>
      </c>
      <c r="AI550" s="158">
        <v>842930</v>
      </c>
      <c r="AJ550" s="158">
        <v>0</v>
      </c>
      <c r="AK550" s="158">
        <v>842930</v>
      </c>
      <c r="AL550" s="158">
        <v>842930</v>
      </c>
      <c r="AM550" s="158">
        <v>1296000</v>
      </c>
      <c r="AN550" s="158">
        <v>842930</v>
      </c>
      <c r="AO550" s="158">
        <v>842930</v>
      </c>
      <c r="AP550" s="158">
        <v>842000</v>
      </c>
      <c r="AQ550" s="432">
        <v>0</v>
      </c>
      <c r="AR550" s="432">
        <v>0</v>
      </c>
      <c r="AS550" s="432">
        <v>0</v>
      </c>
      <c r="AT550" s="432">
        <v>0</v>
      </c>
      <c r="AU550" s="432">
        <v>0</v>
      </c>
      <c r="AV550" s="432">
        <v>0</v>
      </c>
      <c r="AW550" s="432">
        <v>0</v>
      </c>
      <c r="AX550" s="432">
        <v>0</v>
      </c>
      <c r="AY550" s="158">
        <v>0</v>
      </c>
      <c r="AZ550" s="158">
        <v>0</v>
      </c>
      <c r="BA550" s="158">
        <v>0</v>
      </c>
      <c r="BB550" s="158">
        <v>0</v>
      </c>
      <c r="BC550" s="158">
        <v>0</v>
      </c>
      <c r="BD550" s="158">
        <v>0</v>
      </c>
      <c r="BE550" s="158">
        <v>0</v>
      </c>
      <c r="BF550" s="160">
        <v>0</v>
      </c>
      <c r="BG550" s="383">
        <v>2023</v>
      </c>
      <c r="BH550" s="383">
        <v>1</v>
      </c>
      <c r="BI550" s="383">
        <v>19</v>
      </c>
      <c r="BK550" s="147" t="str">
        <f>IF(R550=SUM(Z550,AH550,AP550,AX550,BF550),"○","×")</f>
        <v>○</v>
      </c>
    </row>
    <row r="551" spans="1:63" x14ac:dyDescent="0.2">
      <c r="A551" s="428">
        <v>1757</v>
      </c>
      <c r="B551" s="429"/>
      <c r="C551" s="430"/>
      <c r="D551" s="429"/>
      <c r="E551" s="430"/>
      <c r="F551" s="429"/>
      <c r="G551" s="429"/>
      <c r="H551" s="430"/>
      <c r="I551" s="429"/>
      <c r="J551" s="429"/>
      <c r="K551" s="429"/>
      <c r="L551" s="383"/>
      <c r="M551" s="383" t="s">
        <v>431</v>
      </c>
      <c r="N551" s="383" t="s">
        <v>340</v>
      </c>
      <c r="O551" s="383" t="s">
        <v>432</v>
      </c>
      <c r="P551" s="383" t="s">
        <v>970</v>
      </c>
      <c r="Q551" s="383"/>
      <c r="R551" s="431">
        <v>837000</v>
      </c>
      <c r="S551" s="158">
        <v>0</v>
      </c>
      <c r="T551" s="158">
        <v>0</v>
      </c>
      <c r="U551" s="158">
        <v>0</v>
      </c>
      <c r="V551" s="158">
        <v>0</v>
      </c>
      <c r="W551" s="158">
        <v>0</v>
      </c>
      <c r="X551" s="158">
        <v>0</v>
      </c>
      <c r="Y551" s="158">
        <v>0</v>
      </c>
      <c r="Z551" s="158">
        <v>0</v>
      </c>
      <c r="AA551" s="432">
        <v>0</v>
      </c>
      <c r="AB551" s="432">
        <v>0</v>
      </c>
      <c r="AC551" s="432">
        <v>0</v>
      </c>
      <c r="AD551" s="432">
        <v>0</v>
      </c>
      <c r="AE551" s="432">
        <v>0</v>
      </c>
      <c r="AF551" s="432">
        <v>0</v>
      </c>
      <c r="AG551" s="432">
        <v>0</v>
      </c>
      <c r="AH551" s="432">
        <v>0</v>
      </c>
      <c r="AI551" s="158">
        <v>837610</v>
      </c>
      <c r="AJ551" s="158">
        <v>0</v>
      </c>
      <c r="AK551" s="158">
        <v>837610</v>
      </c>
      <c r="AL551" s="158">
        <v>837610</v>
      </c>
      <c r="AM551" s="158">
        <v>3110400</v>
      </c>
      <c r="AN551" s="158">
        <v>837610</v>
      </c>
      <c r="AO551" s="158">
        <v>837610</v>
      </c>
      <c r="AP551" s="158">
        <v>837000</v>
      </c>
      <c r="AQ551" s="432">
        <v>0</v>
      </c>
      <c r="AR551" s="432">
        <v>0</v>
      </c>
      <c r="AS551" s="432">
        <v>0</v>
      </c>
      <c r="AT551" s="432">
        <v>0</v>
      </c>
      <c r="AU551" s="432">
        <v>0</v>
      </c>
      <c r="AV551" s="432">
        <v>0</v>
      </c>
      <c r="AW551" s="432">
        <v>0</v>
      </c>
      <c r="AX551" s="432">
        <v>0</v>
      </c>
      <c r="AY551" s="158">
        <v>0</v>
      </c>
      <c r="AZ551" s="158">
        <v>0</v>
      </c>
      <c r="BA551" s="158">
        <v>0</v>
      </c>
      <c r="BB551" s="158">
        <v>0</v>
      </c>
      <c r="BC551" s="158">
        <v>0</v>
      </c>
      <c r="BD551" s="158">
        <v>0</v>
      </c>
      <c r="BE551" s="158">
        <v>0</v>
      </c>
      <c r="BF551" s="160">
        <v>0</v>
      </c>
      <c r="BG551" s="383">
        <v>2023</v>
      </c>
      <c r="BH551" s="383">
        <v>1</v>
      </c>
      <c r="BI551" s="383">
        <v>19</v>
      </c>
      <c r="BK551" s="147" t="str">
        <f>IF(R551=SUM(Z551,AH551,AP551,AX551,BF551),"○","×")</f>
        <v>○</v>
      </c>
    </row>
    <row r="552" spans="1:63" x14ac:dyDescent="0.2">
      <c r="A552" s="428">
        <v>1758</v>
      </c>
      <c r="B552" s="429"/>
      <c r="C552" s="430"/>
      <c r="D552" s="429"/>
      <c r="E552" s="430"/>
      <c r="F552" s="429"/>
      <c r="G552" s="429"/>
      <c r="H552" s="430"/>
      <c r="I552" s="429"/>
      <c r="J552" s="429"/>
      <c r="K552" s="429"/>
      <c r="L552" s="383"/>
      <c r="M552" s="383" t="s">
        <v>607</v>
      </c>
      <c r="N552" s="383" t="s">
        <v>372</v>
      </c>
      <c r="O552" s="383" t="s">
        <v>559</v>
      </c>
      <c r="P552" s="383" t="s">
        <v>970</v>
      </c>
      <c r="Q552" s="383"/>
      <c r="R552" s="431">
        <v>286000</v>
      </c>
      <c r="S552" s="158">
        <v>0</v>
      </c>
      <c r="T552" s="158">
        <v>0</v>
      </c>
      <c r="U552" s="158">
        <v>0</v>
      </c>
      <c r="V552" s="158">
        <v>0</v>
      </c>
      <c r="W552" s="158">
        <v>0</v>
      </c>
      <c r="X552" s="158">
        <v>0</v>
      </c>
      <c r="Y552" s="158">
        <v>0</v>
      </c>
      <c r="Z552" s="158">
        <v>0</v>
      </c>
      <c r="AA552" s="432">
        <v>0</v>
      </c>
      <c r="AB552" s="432">
        <v>0</v>
      </c>
      <c r="AC552" s="432">
        <v>0</v>
      </c>
      <c r="AD552" s="432">
        <v>0</v>
      </c>
      <c r="AE552" s="432">
        <v>0</v>
      </c>
      <c r="AF552" s="432">
        <v>0</v>
      </c>
      <c r="AG552" s="432">
        <v>0</v>
      </c>
      <c r="AH552" s="432">
        <v>0</v>
      </c>
      <c r="AI552" s="158">
        <v>286260</v>
      </c>
      <c r="AJ552" s="158">
        <v>0</v>
      </c>
      <c r="AK552" s="158">
        <v>286260</v>
      </c>
      <c r="AL552" s="158">
        <v>286260</v>
      </c>
      <c r="AM552" s="158">
        <v>1051200</v>
      </c>
      <c r="AN552" s="158">
        <v>286260</v>
      </c>
      <c r="AO552" s="158">
        <v>286260</v>
      </c>
      <c r="AP552" s="158">
        <v>286000</v>
      </c>
      <c r="AQ552" s="432">
        <v>0</v>
      </c>
      <c r="AR552" s="432">
        <v>0</v>
      </c>
      <c r="AS552" s="432">
        <v>0</v>
      </c>
      <c r="AT552" s="432">
        <v>0</v>
      </c>
      <c r="AU552" s="432">
        <v>0</v>
      </c>
      <c r="AV552" s="432">
        <v>0</v>
      </c>
      <c r="AW552" s="432">
        <v>0</v>
      </c>
      <c r="AX552" s="432">
        <v>0</v>
      </c>
      <c r="AY552" s="158">
        <v>0</v>
      </c>
      <c r="AZ552" s="158">
        <v>0</v>
      </c>
      <c r="BA552" s="158">
        <v>0</v>
      </c>
      <c r="BB552" s="158">
        <v>0</v>
      </c>
      <c r="BC552" s="158">
        <v>0</v>
      </c>
      <c r="BD552" s="158">
        <v>0</v>
      </c>
      <c r="BE552" s="158">
        <v>0</v>
      </c>
      <c r="BF552" s="160">
        <v>0</v>
      </c>
      <c r="BG552" s="383">
        <v>2023</v>
      </c>
      <c r="BH552" s="383">
        <v>1</v>
      </c>
      <c r="BI552" s="383">
        <v>19</v>
      </c>
      <c r="BK552" s="147" t="str">
        <f>IF(R552=SUM(Z552,AH552,AP552,AX552,BF552),"○","×")</f>
        <v>○</v>
      </c>
    </row>
    <row r="553" spans="1:63" x14ac:dyDescent="0.2">
      <c r="A553" s="428">
        <v>1759</v>
      </c>
      <c r="B553" s="429"/>
      <c r="C553" s="430"/>
      <c r="D553" s="429"/>
      <c r="E553" s="430"/>
      <c r="F553" s="429"/>
      <c r="G553" s="429"/>
      <c r="H553" s="430"/>
      <c r="I553" s="429"/>
      <c r="J553" s="429"/>
      <c r="K553" s="429"/>
      <c r="L553" s="383"/>
      <c r="M553" s="383" t="s">
        <v>744</v>
      </c>
      <c r="N553" s="383" t="s">
        <v>329</v>
      </c>
      <c r="O553" s="383" t="s">
        <v>745</v>
      </c>
      <c r="P553" s="383" t="s">
        <v>970</v>
      </c>
      <c r="Q553" s="383"/>
      <c r="R553" s="431">
        <v>218000</v>
      </c>
      <c r="S553" s="158">
        <v>0</v>
      </c>
      <c r="T553" s="158">
        <v>0</v>
      </c>
      <c r="U553" s="158">
        <v>0</v>
      </c>
      <c r="V553" s="158">
        <v>0</v>
      </c>
      <c r="W553" s="158">
        <v>0</v>
      </c>
      <c r="X553" s="158">
        <v>0</v>
      </c>
      <c r="Y553" s="158">
        <v>0</v>
      </c>
      <c r="Z553" s="158">
        <v>0</v>
      </c>
      <c r="AA553" s="432">
        <v>0</v>
      </c>
      <c r="AB553" s="432">
        <v>0</v>
      </c>
      <c r="AC553" s="432">
        <v>0</v>
      </c>
      <c r="AD553" s="432">
        <v>0</v>
      </c>
      <c r="AE553" s="432">
        <v>0</v>
      </c>
      <c r="AF553" s="432">
        <v>0</v>
      </c>
      <c r="AG553" s="432">
        <v>0</v>
      </c>
      <c r="AH553" s="432">
        <v>0</v>
      </c>
      <c r="AI553" s="158">
        <v>218329</v>
      </c>
      <c r="AJ553" s="158">
        <v>0</v>
      </c>
      <c r="AK553" s="158">
        <v>218329</v>
      </c>
      <c r="AL553" s="158">
        <v>218329</v>
      </c>
      <c r="AM553" s="158">
        <v>1544400</v>
      </c>
      <c r="AN553" s="158">
        <v>218329</v>
      </c>
      <c r="AO553" s="158">
        <v>218329</v>
      </c>
      <c r="AP553" s="158">
        <v>218000</v>
      </c>
      <c r="AQ553" s="432">
        <v>0</v>
      </c>
      <c r="AR553" s="432">
        <v>0</v>
      </c>
      <c r="AS553" s="432">
        <v>0</v>
      </c>
      <c r="AT553" s="432">
        <v>0</v>
      </c>
      <c r="AU553" s="432">
        <v>0</v>
      </c>
      <c r="AV553" s="432">
        <v>0</v>
      </c>
      <c r="AW553" s="432">
        <v>0</v>
      </c>
      <c r="AX553" s="432">
        <v>0</v>
      </c>
      <c r="AY553" s="158">
        <v>0</v>
      </c>
      <c r="AZ553" s="158">
        <v>0</v>
      </c>
      <c r="BA553" s="158">
        <v>0</v>
      </c>
      <c r="BB553" s="158">
        <v>0</v>
      </c>
      <c r="BC553" s="158">
        <v>0</v>
      </c>
      <c r="BD553" s="158">
        <v>0</v>
      </c>
      <c r="BE553" s="158">
        <v>0</v>
      </c>
      <c r="BF553" s="160">
        <v>0</v>
      </c>
      <c r="BG553" s="383">
        <v>2023</v>
      </c>
      <c r="BH553" s="383">
        <v>1</v>
      </c>
      <c r="BI553" s="383">
        <v>19</v>
      </c>
      <c r="BK553" s="147" t="str">
        <f>IF(R553=SUM(Z553,AH553,AP553,AX553,BF553),"○","×")</f>
        <v>○</v>
      </c>
    </row>
    <row r="554" spans="1:63" x14ac:dyDescent="0.2">
      <c r="A554" s="428">
        <v>1760</v>
      </c>
      <c r="B554" s="429"/>
      <c r="C554" s="430"/>
      <c r="D554" s="429"/>
      <c r="E554" s="430"/>
      <c r="F554" s="429"/>
      <c r="G554" s="429"/>
      <c r="H554" s="430"/>
      <c r="I554" s="429"/>
      <c r="J554" s="429"/>
      <c r="K554" s="429"/>
      <c r="L554" s="383"/>
      <c r="M554" s="383" t="s">
        <v>693</v>
      </c>
      <c r="N554" s="383" t="s">
        <v>343</v>
      </c>
      <c r="O554" s="383" t="s">
        <v>462</v>
      </c>
      <c r="P554" s="383" t="s">
        <v>970</v>
      </c>
      <c r="Q554" s="383"/>
      <c r="R554" s="431">
        <v>750000</v>
      </c>
      <c r="S554" s="158">
        <v>0</v>
      </c>
      <c r="T554" s="158">
        <v>0</v>
      </c>
      <c r="U554" s="158">
        <v>0</v>
      </c>
      <c r="V554" s="158">
        <v>0</v>
      </c>
      <c r="W554" s="158">
        <v>0</v>
      </c>
      <c r="X554" s="158">
        <v>0</v>
      </c>
      <c r="Y554" s="158">
        <v>0</v>
      </c>
      <c r="Z554" s="158">
        <v>0</v>
      </c>
      <c r="AA554" s="432">
        <v>0</v>
      </c>
      <c r="AB554" s="432">
        <v>0</v>
      </c>
      <c r="AC554" s="432">
        <v>0</v>
      </c>
      <c r="AD554" s="432">
        <v>0</v>
      </c>
      <c r="AE554" s="432">
        <v>0</v>
      </c>
      <c r="AF554" s="432">
        <v>0</v>
      </c>
      <c r="AG554" s="432">
        <v>0</v>
      </c>
      <c r="AH554" s="432">
        <v>0</v>
      </c>
      <c r="AI554" s="158">
        <v>750171</v>
      </c>
      <c r="AJ554" s="158">
        <v>0</v>
      </c>
      <c r="AK554" s="158">
        <v>750171</v>
      </c>
      <c r="AL554" s="158">
        <v>750171</v>
      </c>
      <c r="AM554" s="158">
        <v>1263600</v>
      </c>
      <c r="AN554" s="158">
        <v>750171</v>
      </c>
      <c r="AO554" s="158">
        <v>750171</v>
      </c>
      <c r="AP554" s="158">
        <v>750000</v>
      </c>
      <c r="AQ554" s="432">
        <v>0</v>
      </c>
      <c r="AR554" s="432">
        <v>0</v>
      </c>
      <c r="AS554" s="432">
        <v>0</v>
      </c>
      <c r="AT554" s="432">
        <v>0</v>
      </c>
      <c r="AU554" s="432">
        <v>0</v>
      </c>
      <c r="AV554" s="432">
        <v>0</v>
      </c>
      <c r="AW554" s="432">
        <v>0</v>
      </c>
      <c r="AX554" s="432">
        <v>0</v>
      </c>
      <c r="AY554" s="158">
        <v>0</v>
      </c>
      <c r="AZ554" s="158">
        <v>0</v>
      </c>
      <c r="BA554" s="158">
        <v>0</v>
      </c>
      <c r="BB554" s="158">
        <v>0</v>
      </c>
      <c r="BC554" s="158">
        <v>0</v>
      </c>
      <c r="BD554" s="158">
        <v>0</v>
      </c>
      <c r="BE554" s="158">
        <v>0</v>
      </c>
      <c r="BF554" s="160">
        <v>0</v>
      </c>
      <c r="BG554" s="383">
        <v>2023</v>
      </c>
      <c r="BH554" s="383">
        <v>1</v>
      </c>
      <c r="BI554" s="383">
        <v>19</v>
      </c>
      <c r="BK554" s="147" t="str">
        <f>IF(R554=SUM(Z554,AH554,AP554,AX554,BF554),"○","×")</f>
        <v>○</v>
      </c>
    </row>
    <row r="555" spans="1:63" x14ac:dyDescent="0.2">
      <c r="A555" s="428">
        <v>1761</v>
      </c>
      <c r="B555" s="429"/>
      <c r="C555" s="430"/>
      <c r="D555" s="429"/>
      <c r="E555" s="430"/>
      <c r="F555" s="429"/>
      <c r="G555" s="429"/>
      <c r="H555" s="430"/>
      <c r="I555" s="429"/>
      <c r="J555" s="429"/>
      <c r="K555" s="429"/>
      <c r="L555" s="383"/>
      <c r="M555" s="383" t="s">
        <v>921</v>
      </c>
      <c r="N555" s="383" t="s">
        <v>335</v>
      </c>
      <c r="O555" s="383" t="s">
        <v>922</v>
      </c>
      <c r="P555" s="383" t="s">
        <v>970</v>
      </c>
      <c r="Q555" s="383"/>
      <c r="R555" s="431">
        <v>458000</v>
      </c>
      <c r="S555" s="158">
        <v>0</v>
      </c>
      <c r="T555" s="158">
        <v>0</v>
      </c>
      <c r="U555" s="158">
        <v>0</v>
      </c>
      <c r="V555" s="158">
        <v>0</v>
      </c>
      <c r="W555" s="158">
        <v>0</v>
      </c>
      <c r="X555" s="158">
        <v>0</v>
      </c>
      <c r="Y555" s="158">
        <v>0</v>
      </c>
      <c r="Z555" s="158">
        <v>0</v>
      </c>
      <c r="AA555" s="432">
        <v>0</v>
      </c>
      <c r="AB555" s="432">
        <v>0</v>
      </c>
      <c r="AC555" s="432">
        <v>0</v>
      </c>
      <c r="AD555" s="432">
        <v>0</v>
      </c>
      <c r="AE555" s="432">
        <v>0</v>
      </c>
      <c r="AF555" s="432">
        <v>0</v>
      </c>
      <c r="AG555" s="432">
        <v>0</v>
      </c>
      <c r="AH555" s="432">
        <v>0</v>
      </c>
      <c r="AI555" s="158">
        <v>458000</v>
      </c>
      <c r="AJ555" s="158">
        <v>0</v>
      </c>
      <c r="AK555" s="158">
        <v>458000</v>
      </c>
      <c r="AL555" s="158">
        <v>458000</v>
      </c>
      <c r="AM555" s="158">
        <v>7308000</v>
      </c>
      <c r="AN555" s="158">
        <v>458000</v>
      </c>
      <c r="AO555" s="158">
        <v>458000</v>
      </c>
      <c r="AP555" s="158">
        <v>458000</v>
      </c>
      <c r="AQ555" s="432">
        <v>0</v>
      </c>
      <c r="AR555" s="432">
        <v>0</v>
      </c>
      <c r="AS555" s="432">
        <v>0</v>
      </c>
      <c r="AT555" s="432">
        <v>0</v>
      </c>
      <c r="AU555" s="432">
        <v>0</v>
      </c>
      <c r="AV555" s="432">
        <v>0</v>
      </c>
      <c r="AW555" s="432">
        <v>0</v>
      </c>
      <c r="AX555" s="432">
        <v>0</v>
      </c>
      <c r="AY555" s="158">
        <v>0</v>
      </c>
      <c r="AZ555" s="158">
        <v>0</v>
      </c>
      <c r="BA555" s="158">
        <v>0</v>
      </c>
      <c r="BB555" s="158">
        <v>0</v>
      </c>
      <c r="BC555" s="158">
        <v>0</v>
      </c>
      <c r="BD555" s="158">
        <v>0</v>
      </c>
      <c r="BE555" s="158">
        <v>0</v>
      </c>
      <c r="BF555" s="160">
        <v>0</v>
      </c>
      <c r="BG555" s="383">
        <v>2023</v>
      </c>
      <c r="BH555" s="383">
        <v>1</v>
      </c>
      <c r="BI555" s="383">
        <v>19</v>
      </c>
      <c r="BK555" s="147" t="str">
        <f>IF(R555=SUM(Z555,AH555,AP555,AX555,BF555),"○","×")</f>
        <v>○</v>
      </c>
    </row>
    <row r="556" spans="1:63" x14ac:dyDescent="0.2">
      <c r="A556" s="428">
        <v>1762</v>
      </c>
      <c r="B556" s="429"/>
      <c r="C556" s="430"/>
      <c r="D556" s="429"/>
      <c r="E556" s="430"/>
      <c r="F556" s="429"/>
      <c r="G556" s="429"/>
      <c r="H556" s="430"/>
      <c r="I556" s="429"/>
      <c r="J556" s="429"/>
      <c r="K556" s="429"/>
      <c r="L556" s="383"/>
      <c r="M556" s="383" t="s">
        <v>675</v>
      </c>
      <c r="N556" s="383" t="s">
        <v>360</v>
      </c>
      <c r="O556" s="383" t="s">
        <v>676</v>
      </c>
      <c r="P556" s="383" t="s">
        <v>970</v>
      </c>
      <c r="Q556" s="383"/>
      <c r="R556" s="431">
        <v>813000</v>
      </c>
      <c r="S556" s="158">
        <v>0</v>
      </c>
      <c r="T556" s="158">
        <v>0</v>
      </c>
      <c r="U556" s="158">
        <v>0</v>
      </c>
      <c r="V556" s="158">
        <v>0</v>
      </c>
      <c r="W556" s="158">
        <v>0</v>
      </c>
      <c r="X556" s="158">
        <v>0</v>
      </c>
      <c r="Y556" s="158">
        <v>0</v>
      </c>
      <c r="Z556" s="158">
        <v>0</v>
      </c>
      <c r="AA556" s="432">
        <v>0</v>
      </c>
      <c r="AB556" s="432">
        <v>0</v>
      </c>
      <c r="AC556" s="432">
        <v>0</v>
      </c>
      <c r="AD556" s="432">
        <v>0</v>
      </c>
      <c r="AE556" s="432">
        <v>0</v>
      </c>
      <c r="AF556" s="432">
        <v>0</v>
      </c>
      <c r="AG556" s="432">
        <v>0</v>
      </c>
      <c r="AH556" s="432">
        <v>0</v>
      </c>
      <c r="AI556" s="158">
        <v>813690</v>
      </c>
      <c r="AJ556" s="158">
        <v>0</v>
      </c>
      <c r="AK556" s="158">
        <v>813690</v>
      </c>
      <c r="AL556" s="158">
        <v>813690</v>
      </c>
      <c r="AM556" s="158">
        <v>3240000</v>
      </c>
      <c r="AN556" s="158">
        <v>813690</v>
      </c>
      <c r="AO556" s="158">
        <v>813690</v>
      </c>
      <c r="AP556" s="158">
        <v>813000</v>
      </c>
      <c r="AQ556" s="432">
        <v>0</v>
      </c>
      <c r="AR556" s="432">
        <v>0</v>
      </c>
      <c r="AS556" s="432">
        <v>0</v>
      </c>
      <c r="AT556" s="432">
        <v>0</v>
      </c>
      <c r="AU556" s="432">
        <v>0</v>
      </c>
      <c r="AV556" s="432">
        <v>0</v>
      </c>
      <c r="AW556" s="432">
        <v>0</v>
      </c>
      <c r="AX556" s="432">
        <v>0</v>
      </c>
      <c r="AY556" s="158">
        <v>0</v>
      </c>
      <c r="AZ556" s="158">
        <v>0</v>
      </c>
      <c r="BA556" s="158">
        <v>0</v>
      </c>
      <c r="BB556" s="158">
        <v>0</v>
      </c>
      <c r="BC556" s="158">
        <v>0</v>
      </c>
      <c r="BD556" s="158">
        <v>0</v>
      </c>
      <c r="BE556" s="158">
        <v>0</v>
      </c>
      <c r="BF556" s="160">
        <v>0</v>
      </c>
      <c r="BG556" s="383">
        <v>2023</v>
      </c>
      <c r="BH556" s="383">
        <v>1</v>
      </c>
      <c r="BI556" s="383">
        <v>19</v>
      </c>
      <c r="BK556" s="147" t="str">
        <f>IF(R556=SUM(Z556,AH556,AP556,AX556,BF556),"○","×")</f>
        <v>○</v>
      </c>
    </row>
    <row r="557" spans="1:63" x14ac:dyDescent="0.2">
      <c r="A557" s="428">
        <v>1763</v>
      </c>
      <c r="B557" s="429"/>
      <c r="C557" s="430"/>
      <c r="D557" s="429"/>
      <c r="E557" s="430"/>
      <c r="F557" s="429"/>
      <c r="G557" s="429"/>
      <c r="H557" s="430"/>
      <c r="I557" s="429"/>
      <c r="J557" s="429"/>
      <c r="K557" s="429"/>
      <c r="L557" s="383"/>
      <c r="M557" s="383" t="s">
        <v>923</v>
      </c>
      <c r="N557" s="383" t="s">
        <v>360</v>
      </c>
      <c r="O557" s="383" t="s">
        <v>551</v>
      </c>
      <c r="P557" s="383" t="s">
        <v>970</v>
      </c>
      <c r="Q557" s="383"/>
      <c r="R557" s="431">
        <v>91000</v>
      </c>
      <c r="S557" s="158">
        <v>0</v>
      </c>
      <c r="T557" s="158">
        <v>0</v>
      </c>
      <c r="U557" s="158">
        <v>0</v>
      </c>
      <c r="V557" s="158">
        <v>0</v>
      </c>
      <c r="W557" s="158">
        <v>0</v>
      </c>
      <c r="X557" s="158">
        <v>0</v>
      </c>
      <c r="Y557" s="158">
        <v>0</v>
      </c>
      <c r="Z557" s="158">
        <v>0</v>
      </c>
      <c r="AA557" s="432">
        <v>0</v>
      </c>
      <c r="AB557" s="432">
        <v>0</v>
      </c>
      <c r="AC557" s="432">
        <v>0</v>
      </c>
      <c r="AD557" s="432">
        <v>0</v>
      </c>
      <c r="AE557" s="432">
        <v>0</v>
      </c>
      <c r="AF557" s="432">
        <v>0</v>
      </c>
      <c r="AG557" s="432">
        <v>0</v>
      </c>
      <c r="AH557" s="432">
        <v>0</v>
      </c>
      <c r="AI557" s="158">
        <v>91707</v>
      </c>
      <c r="AJ557" s="158">
        <v>0</v>
      </c>
      <c r="AK557" s="158">
        <v>91707</v>
      </c>
      <c r="AL557" s="158">
        <v>91707</v>
      </c>
      <c r="AM557" s="158">
        <v>1728000</v>
      </c>
      <c r="AN557" s="158">
        <v>91707</v>
      </c>
      <c r="AO557" s="158">
        <v>91707</v>
      </c>
      <c r="AP557" s="158">
        <v>91000</v>
      </c>
      <c r="AQ557" s="432">
        <v>0</v>
      </c>
      <c r="AR557" s="432">
        <v>0</v>
      </c>
      <c r="AS557" s="432">
        <v>0</v>
      </c>
      <c r="AT557" s="432">
        <v>0</v>
      </c>
      <c r="AU557" s="432">
        <v>0</v>
      </c>
      <c r="AV557" s="432">
        <v>0</v>
      </c>
      <c r="AW557" s="432">
        <v>0</v>
      </c>
      <c r="AX557" s="432">
        <v>0</v>
      </c>
      <c r="AY557" s="158">
        <v>0</v>
      </c>
      <c r="AZ557" s="158">
        <v>0</v>
      </c>
      <c r="BA557" s="158">
        <v>0</v>
      </c>
      <c r="BB557" s="158">
        <v>0</v>
      </c>
      <c r="BC557" s="158">
        <v>0</v>
      </c>
      <c r="BD557" s="158">
        <v>0</v>
      </c>
      <c r="BE557" s="158">
        <v>0</v>
      </c>
      <c r="BF557" s="160">
        <v>0</v>
      </c>
      <c r="BG557" s="383">
        <v>2023</v>
      </c>
      <c r="BH557" s="383">
        <v>1</v>
      </c>
      <c r="BI557" s="383">
        <v>19</v>
      </c>
      <c r="BK557" s="147" t="str">
        <f>IF(R557=SUM(Z557,AH557,AP557,AX557,BF557),"○","×")</f>
        <v>○</v>
      </c>
    </row>
    <row r="558" spans="1:63" x14ac:dyDescent="0.2">
      <c r="A558" s="428">
        <v>1764</v>
      </c>
      <c r="B558" s="429"/>
      <c r="C558" s="430"/>
      <c r="D558" s="429"/>
      <c r="E558" s="430"/>
      <c r="F558" s="429"/>
      <c r="G558" s="429"/>
      <c r="H558" s="430"/>
      <c r="I558" s="429"/>
      <c r="J558" s="429"/>
      <c r="K558" s="429"/>
      <c r="L558" s="383"/>
      <c r="M558" s="383" t="s">
        <v>924</v>
      </c>
      <c r="N558" s="383" t="s">
        <v>906</v>
      </c>
      <c r="O558" s="383" t="s">
        <v>333</v>
      </c>
      <c r="P558" s="383" t="s">
        <v>970</v>
      </c>
      <c r="Q558" s="383"/>
      <c r="R558" s="431">
        <v>74000</v>
      </c>
      <c r="S558" s="158">
        <v>0</v>
      </c>
      <c r="T558" s="158">
        <v>0</v>
      </c>
      <c r="U558" s="158">
        <v>0</v>
      </c>
      <c r="V558" s="158">
        <v>0</v>
      </c>
      <c r="W558" s="158">
        <v>0</v>
      </c>
      <c r="X558" s="158">
        <v>0</v>
      </c>
      <c r="Y558" s="158">
        <v>0</v>
      </c>
      <c r="Z558" s="158">
        <v>0</v>
      </c>
      <c r="AA558" s="432">
        <v>0</v>
      </c>
      <c r="AB558" s="432">
        <v>0</v>
      </c>
      <c r="AC558" s="432">
        <v>0</v>
      </c>
      <c r="AD558" s="432">
        <v>0</v>
      </c>
      <c r="AE558" s="432">
        <v>0</v>
      </c>
      <c r="AF558" s="432">
        <v>0</v>
      </c>
      <c r="AG558" s="432">
        <v>0</v>
      </c>
      <c r="AH558" s="432">
        <v>0</v>
      </c>
      <c r="AI558" s="158">
        <v>74184</v>
      </c>
      <c r="AJ558" s="158">
        <v>0</v>
      </c>
      <c r="AK558" s="158">
        <v>74184</v>
      </c>
      <c r="AL558" s="158">
        <v>74184</v>
      </c>
      <c r="AM558" s="158">
        <v>1382400</v>
      </c>
      <c r="AN558" s="158">
        <v>74184</v>
      </c>
      <c r="AO558" s="158">
        <v>74184</v>
      </c>
      <c r="AP558" s="158">
        <v>74000</v>
      </c>
      <c r="AQ558" s="432">
        <v>0</v>
      </c>
      <c r="AR558" s="432">
        <v>0</v>
      </c>
      <c r="AS558" s="432">
        <v>0</v>
      </c>
      <c r="AT558" s="432">
        <v>0</v>
      </c>
      <c r="AU558" s="432">
        <v>0</v>
      </c>
      <c r="AV558" s="432">
        <v>0</v>
      </c>
      <c r="AW558" s="432">
        <v>0</v>
      </c>
      <c r="AX558" s="432">
        <v>0</v>
      </c>
      <c r="AY558" s="158">
        <v>0</v>
      </c>
      <c r="AZ558" s="158">
        <v>0</v>
      </c>
      <c r="BA558" s="158">
        <v>0</v>
      </c>
      <c r="BB558" s="158">
        <v>0</v>
      </c>
      <c r="BC558" s="158">
        <v>0</v>
      </c>
      <c r="BD558" s="158">
        <v>0</v>
      </c>
      <c r="BE558" s="158">
        <v>0</v>
      </c>
      <c r="BF558" s="160">
        <v>0</v>
      </c>
      <c r="BG558" s="383">
        <v>2023</v>
      </c>
      <c r="BH558" s="383">
        <v>1</v>
      </c>
      <c r="BI558" s="383">
        <v>19</v>
      </c>
      <c r="BK558" s="147" t="str">
        <f>IF(R558=SUM(Z558,AH558,AP558,AX558,BF558),"○","×")</f>
        <v>○</v>
      </c>
    </row>
    <row r="559" spans="1:63" x14ac:dyDescent="0.2">
      <c r="A559" s="428">
        <v>1765</v>
      </c>
      <c r="B559" s="429"/>
      <c r="C559" s="430"/>
      <c r="D559" s="429"/>
      <c r="E559" s="430"/>
      <c r="F559" s="429"/>
      <c r="G559" s="429"/>
      <c r="H559" s="430"/>
      <c r="I559" s="429"/>
      <c r="J559" s="429"/>
      <c r="K559" s="429"/>
      <c r="L559" s="383"/>
      <c r="M559" s="383" t="s">
        <v>680</v>
      </c>
      <c r="N559" s="383" t="s">
        <v>356</v>
      </c>
      <c r="O559" s="383" t="s">
        <v>423</v>
      </c>
      <c r="P559" s="383" t="s">
        <v>970</v>
      </c>
      <c r="Q559" s="383"/>
      <c r="R559" s="431">
        <v>684000</v>
      </c>
      <c r="S559" s="158">
        <v>0</v>
      </c>
      <c r="T559" s="158">
        <v>0</v>
      </c>
      <c r="U559" s="158">
        <v>0</v>
      </c>
      <c r="V559" s="158">
        <v>0</v>
      </c>
      <c r="W559" s="158">
        <v>0</v>
      </c>
      <c r="X559" s="158">
        <v>0</v>
      </c>
      <c r="Y559" s="158">
        <v>0</v>
      </c>
      <c r="Z559" s="158">
        <v>0</v>
      </c>
      <c r="AA559" s="432">
        <v>0</v>
      </c>
      <c r="AB559" s="432">
        <v>0</v>
      </c>
      <c r="AC559" s="432">
        <v>0</v>
      </c>
      <c r="AD559" s="432">
        <v>0</v>
      </c>
      <c r="AE559" s="432">
        <v>0</v>
      </c>
      <c r="AF559" s="432">
        <v>0</v>
      </c>
      <c r="AG559" s="432">
        <v>0</v>
      </c>
      <c r="AH559" s="432">
        <v>0</v>
      </c>
      <c r="AI559" s="158">
        <v>692570</v>
      </c>
      <c r="AJ559" s="158">
        <v>0</v>
      </c>
      <c r="AK559" s="158">
        <v>692570</v>
      </c>
      <c r="AL559" s="158">
        <v>692570</v>
      </c>
      <c r="AM559" s="158">
        <v>684000</v>
      </c>
      <c r="AN559" s="158">
        <v>684000</v>
      </c>
      <c r="AO559" s="158">
        <v>684000</v>
      </c>
      <c r="AP559" s="158">
        <v>684000</v>
      </c>
      <c r="AQ559" s="432">
        <v>0</v>
      </c>
      <c r="AR559" s="432">
        <v>0</v>
      </c>
      <c r="AS559" s="432">
        <v>0</v>
      </c>
      <c r="AT559" s="432">
        <v>0</v>
      </c>
      <c r="AU559" s="432">
        <v>0</v>
      </c>
      <c r="AV559" s="432">
        <v>0</v>
      </c>
      <c r="AW559" s="432">
        <v>0</v>
      </c>
      <c r="AX559" s="432">
        <v>0</v>
      </c>
      <c r="AY559" s="158">
        <v>0</v>
      </c>
      <c r="AZ559" s="158">
        <v>0</v>
      </c>
      <c r="BA559" s="158">
        <v>0</v>
      </c>
      <c r="BB559" s="158">
        <v>0</v>
      </c>
      <c r="BC559" s="158">
        <v>0</v>
      </c>
      <c r="BD559" s="158">
        <v>0</v>
      </c>
      <c r="BE559" s="158">
        <v>0</v>
      </c>
      <c r="BF559" s="160">
        <v>0</v>
      </c>
      <c r="BG559" s="383">
        <v>2023</v>
      </c>
      <c r="BH559" s="383">
        <v>1</v>
      </c>
      <c r="BI559" s="383">
        <v>19</v>
      </c>
      <c r="BK559" s="147" t="str">
        <f>IF(R559=SUM(Z559,AH559,AP559,AX559,BF559),"○","×")</f>
        <v>○</v>
      </c>
    </row>
    <row r="560" spans="1:63" x14ac:dyDescent="0.2">
      <c r="A560" s="428">
        <v>1766</v>
      </c>
      <c r="B560" s="429"/>
      <c r="C560" s="430"/>
      <c r="D560" s="429"/>
      <c r="E560" s="430"/>
      <c r="F560" s="429"/>
      <c r="G560" s="429"/>
      <c r="H560" s="430"/>
      <c r="I560" s="429"/>
      <c r="J560" s="429"/>
      <c r="K560" s="429"/>
      <c r="L560" s="383"/>
      <c r="M560" s="383" t="s">
        <v>355</v>
      </c>
      <c r="N560" s="383" t="s">
        <v>356</v>
      </c>
      <c r="O560" s="383" t="s">
        <v>357</v>
      </c>
      <c r="P560" s="383" t="s">
        <v>970</v>
      </c>
      <c r="Q560" s="383"/>
      <c r="R560" s="431">
        <v>540000</v>
      </c>
      <c r="S560" s="158">
        <v>0</v>
      </c>
      <c r="T560" s="158">
        <v>0</v>
      </c>
      <c r="U560" s="158">
        <v>0</v>
      </c>
      <c r="V560" s="158">
        <v>0</v>
      </c>
      <c r="W560" s="158">
        <v>0</v>
      </c>
      <c r="X560" s="158">
        <v>0</v>
      </c>
      <c r="Y560" s="158">
        <v>0</v>
      </c>
      <c r="Z560" s="158">
        <v>0</v>
      </c>
      <c r="AA560" s="432">
        <v>0</v>
      </c>
      <c r="AB560" s="432">
        <v>0</v>
      </c>
      <c r="AC560" s="432">
        <v>0</v>
      </c>
      <c r="AD560" s="432">
        <v>0</v>
      </c>
      <c r="AE560" s="432">
        <v>0</v>
      </c>
      <c r="AF560" s="432">
        <v>0</v>
      </c>
      <c r="AG560" s="432">
        <v>0</v>
      </c>
      <c r="AH560" s="432">
        <v>0</v>
      </c>
      <c r="AI560" s="158">
        <v>540464</v>
      </c>
      <c r="AJ560" s="158">
        <v>0</v>
      </c>
      <c r="AK560" s="158">
        <v>540464</v>
      </c>
      <c r="AL560" s="158">
        <v>540464</v>
      </c>
      <c r="AM560" s="158">
        <v>3049200</v>
      </c>
      <c r="AN560" s="158">
        <v>540464</v>
      </c>
      <c r="AO560" s="158">
        <v>540464</v>
      </c>
      <c r="AP560" s="158">
        <v>540000</v>
      </c>
      <c r="AQ560" s="432">
        <v>0</v>
      </c>
      <c r="AR560" s="432">
        <v>0</v>
      </c>
      <c r="AS560" s="432">
        <v>0</v>
      </c>
      <c r="AT560" s="432">
        <v>0</v>
      </c>
      <c r="AU560" s="432">
        <v>0</v>
      </c>
      <c r="AV560" s="432">
        <v>0</v>
      </c>
      <c r="AW560" s="432">
        <v>0</v>
      </c>
      <c r="AX560" s="432">
        <v>0</v>
      </c>
      <c r="AY560" s="158">
        <v>0</v>
      </c>
      <c r="AZ560" s="158">
        <v>0</v>
      </c>
      <c r="BA560" s="158">
        <v>0</v>
      </c>
      <c r="BB560" s="158">
        <v>0</v>
      </c>
      <c r="BC560" s="158">
        <v>0</v>
      </c>
      <c r="BD560" s="158">
        <v>0</v>
      </c>
      <c r="BE560" s="158">
        <v>0</v>
      </c>
      <c r="BF560" s="160">
        <v>0</v>
      </c>
      <c r="BG560" s="383">
        <v>2023</v>
      </c>
      <c r="BH560" s="383">
        <v>1</v>
      </c>
      <c r="BI560" s="383">
        <v>19</v>
      </c>
      <c r="BK560" s="147" t="str">
        <f>IF(R560=SUM(Z560,AH560,AP560,AX560,BF560),"○","×")</f>
        <v>○</v>
      </c>
    </row>
    <row r="561" spans="1:63" x14ac:dyDescent="0.2">
      <c r="A561" s="428">
        <v>1767</v>
      </c>
      <c r="B561" s="429"/>
      <c r="C561" s="430"/>
      <c r="D561" s="429"/>
      <c r="E561" s="430"/>
      <c r="F561" s="429"/>
      <c r="G561" s="429"/>
      <c r="H561" s="430"/>
      <c r="I561" s="429"/>
      <c r="J561" s="429"/>
      <c r="K561" s="429"/>
      <c r="L561" s="383"/>
      <c r="M561" s="383" t="s">
        <v>691</v>
      </c>
      <c r="N561" s="383" t="s">
        <v>323</v>
      </c>
      <c r="O561" s="383" t="s">
        <v>692</v>
      </c>
      <c r="P561" s="383" t="s">
        <v>970</v>
      </c>
      <c r="Q561" s="383"/>
      <c r="R561" s="431">
        <v>102000</v>
      </c>
      <c r="S561" s="158">
        <v>0</v>
      </c>
      <c r="T561" s="158">
        <v>0</v>
      </c>
      <c r="U561" s="158">
        <v>0</v>
      </c>
      <c r="V561" s="158">
        <v>0</v>
      </c>
      <c r="W561" s="158">
        <v>0</v>
      </c>
      <c r="X561" s="158">
        <v>0</v>
      </c>
      <c r="Y561" s="158">
        <v>0</v>
      </c>
      <c r="Z561" s="158">
        <v>0</v>
      </c>
      <c r="AA561" s="432">
        <v>0</v>
      </c>
      <c r="AB561" s="432">
        <v>0</v>
      </c>
      <c r="AC561" s="432">
        <v>0</v>
      </c>
      <c r="AD561" s="432">
        <v>0</v>
      </c>
      <c r="AE561" s="432">
        <v>0</v>
      </c>
      <c r="AF561" s="432">
        <v>0</v>
      </c>
      <c r="AG561" s="432">
        <v>0</v>
      </c>
      <c r="AH561" s="432">
        <v>0</v>
      </c>
      <c r="AI561" s="158">
        <v>102276</v>
      </c>
      <c r="AJ561" s="158">
        <v>0</v>
      </c>
      <c r="AK561" s="158">
        <v>102276</v>
      </c>
      <c r="AL561" s="158">
        <v>102276</v>
      </c>
      <c r="AM561" s="158">
        <v>2286000</v>
      </c>
      <c r="AN561" s="158">
        <v>102276</v>
      </c>
      <c r="AO561" s="158">
        <v>102276</v>
      </c>
      <c r="AP561" s="158">
        <v>102000</v>
      </c>
      <c r="AQ561" s="432">
        <v>0</v>
      </c>
      <c r="AR561" s="432">
        <v>0</v>
      </c>
      <c r="AS561" s="432">
        <v>0</v>
      </c>
      <c r="AT561" s="432">
        <v>0</v>
      </c>
      <c r="AU561" s="432">
        <v>0</v>
      </c>
      <c r="AV561" s="432">
        <v>0</v>
      </c>
      <c r="AW561" s="432">
        <v>0</v>
      </c>
      <c r="AX561" s="432">
        <v>0</v>
      </c>
      <c r="AY561" s="158">
        <v>0</v>
      </c>
      <c r="AZ561" s="158">
        <v>0</v>
      </c>
      <c r="BA561" s="158">
        <v>0</v>
      </c>
      <c r="BB561" s="158">
        <v>0</v>
      </c>
      <c r="BC561" s="158">
        <v>0</v>
      </c>
      <c r="BD561" s="158">
        <v>0</v>
      </c>
      <c r="BE561" s="158">
        <v>0</v>
      </c>
      <c r="BF561" s="160">
        <v>0</v>
      </c>
      <c r="BG561" s="383">
        <v>2023</v>
      </c>
      <c r="BH561" s="383">
        <v>1</v>
      </c>
      <c r="BI561" s="383">
        <v>19</v>
      </c>
      <c r="BK561" s="147" t="str">
        <f>IF(R561=SUM(Z561,AH561,AP561,AX561,BF561),"○","×")</f>
        <v>○</v>
      </c>
    </row>
    <row r="562" spans="1:63" x14ac:dyDescent="0.2">
      <c r="A562" s="428">
        <v>1769</v>
      </c>
      <c r="B562" s="429"/>
      <c r="C562" s="430"/>
      <c r="D562" s="429"/>
      <c r="E562" s="430"/>
      <c r="F562" s="429"/>
      <c r="G562" s="429"/>
      <c r="H562" s="430"/>
      <c r="I562" s="429"/>
      <c r="J562" s="429"/>
      <c r="K562" s="429"/>
      <c r="L562" s="383"/>
      <c r="M562" s="383" t="s">
        <v>925</v>
      </c>
      <c r="N562" s="383" t="s">
        <v>323</v>
      </c>
      <c r="O562" s="383" t="s">
        <v>926</v>
      </c>
      <c r="P562" s="383" t="s">
        <v>970</v>
      </c>
      <c r="Q562" s="383"/>
      <c r="R562" s="431">
        <v>122000</v>
      </c>
      <c r="S562" s="158">
        <v>0</v>
      </c>
      <c r="T562" s="158">
        <v>0</v>
      </c>
      <c r="U562" s="158">
        <v>0</v>
      </c>
      <c r="V562" s="158">
        <v>0</v>
      </c>
      <c r="W562" s="158">
        <v>0</v>
      </c>
      <c r="X562" s="158">
        <v>0</v>
      </c>
      <c r="Y562" s="158">
        <v>0</v>
      </c>
      <c r="Z562" s="158">
        <v>0</v>
      </c>
      <c r="AA562" s="432">
        <v>0</v>
      </c>
      <c r="AB562" s="432">
        <v>0</v>
      </c>
      <c r="AC562" s="432">
        <v>0</v>
      </c>
      <c r="AD562" s="432">
        <v>0</v>
      </c>
      <c r="AE562" s="432">
        <v>0</v>
      </c>
      <c r="AF562" s="432">
        <v>0</v>
      </c>
      <c r="AG562" s="432">
        <v>0</v>
      </c>
      <c r="AH562" s="432">
        <v>0</v>
      </c>
      <c r="AI562" s="158">
        <v>122809</v>
      </c>
      <c r="AJ562" s="158">
        <v>0</v>
      </c>
      <c r="AK562" s="158">
        <v>122809</v>
      </c>
      <c r="AL562" s="158">
        <v>122809</v>
      </c>
      <c r="AM562" s="158">
        <v>1544400</v>
      </c>
      <c r="AN562" s="158">
        <v>122809</v>
      </c>
      <c r="AO562" s="158">
        <v>122809</v>
      </c>
      <c r="AP562" s="158">
        <v>122000</v>
      </c>
      <c r="AQ562" s="432">
        <v>0</v>
      </c>
      <c r="AR562" s="432">
        <v>0</v>
      </c>
      <c r="AS562" s="432">
        <v>0</v>
      </c>
      <c r="AT562" s="432">
        <v>0</v>
      </c>
      <c r="AU562" s="432">
        <v>0</v>
      </c>
      <c r="AV562" s="432">
        <v>0</v>
      </c>
      <c r="AW562" s="432">
        <v>0</v>
      </c>
      <c r="AX562" s="432">
        <v>0</v>
      </c>
      <c r="AY562" s="158">
        <v>0</v>
      </c>
      <c r="AZ562" s="158">
        <v>0</v>
      </c>
      <c r="BA562" s="158">
        <v>0</v>
      </c>
      <c r="BB562" s="158">
        <v>0</v>
      </c>
      <c r="BC562" s="158">
        <v>0</v>
      </c>
      <c r="BD562" s="158">
        <v>0</v>
      </c>
      <c r="BE562" s="158">
        <v>0</v>
      </c>
      <c r="BF562" s="160">
        <v>0</v>
      </c>
      <c r="BG562" s="383">
        <v>2023</v>
      </c>
      <c r="BH562" s="383">
        <v>1</v>
      </c>
      <c r="BI562" s="383">
        <v>19</v>
      </c>
      <c r="BK562" s="147" t="str">
        <f>IF(R562=SUM(Z562,AH562,AP562,AX562,BF562),"○","×")</f>
        <v>○</v>
      </c>
    </row>
    <row r="563" spans="1:63" x14ac:dyDescent="0.2">
      <c r="A563" s="428">
        <v>1770</v>
      </c>
      <c r="B563" s="429"/>
      <c r="C563" s="430"/>
      <c r="D563" s="429"/>
      <c r="E563" s="430"/>
      <c r="F563" s="429"/>
      <c r="G563" s="429"/>
      <c r="H563" s="430"/>
      <c r="I563" s="429"/>
      <c r="J563" s="429"/>
      <c r="K563" s="429"/>
      <c r="L563" s="383"/>
      <c r="M563" s="383" t="s">
        <v>637</v>
      </c>
      <c r="N563" s="383" t="s">
        <v>353</v>
      </c>
      <c r="O563" s="383" t="s">
        <v>638</v>
      </c>
      <c r="P563" s="383" t="s">
        <v>970</v>
      </c>
      <c r="Q563" s="383"/>
      <c r="R563" s="431">
        <v>467000</v>
      </c>
      <c r="S563" s="158">
        <v>0</v>
      </c>
      <c r="T563" s="158">
        <v>0</v>
      </c>
      <c r="U563" s="158">
        <v>0</v>
      </c>
      <c r="V563" s="158">
        <v>0</v>
      </c>
      <c r="W563" s="158">
        <v>0</v>
      </c>
      <c r="X563" s="158">
        <v>0</v>
      </c>
      <c r="Y563" s="158">
        <v>0</v>
      </c>
      <c r="Z563" s="158">
        <v>0</v>
      </c>
      <c r="AA563" s="432">
        <v>0</v>
      </c>
      <c r="AB563" s="432">
        <v>0</v>
      </c>
      <c r="AC563" s="432">
        <v>0</v>
      </c>
      <c r="AD563" s="432">
        <v>0</v>
      </c>
      <c r="AE563" s="432">
        <v>0</v>
      </c>
      <c r="AF563" s="432">
        <v>0</v>
      </c>
      <c r="AG563" s="432">
        <v>0</v>
      </c>
      <c r="AH563" s="432">
        <v>0</v>
      </c>
      <c r="AI563" s="158">
        <v>467500</v>
      </c>
      <c r="AJ563" s="158">
        <v>0</v>
      </c>
      <c r="AK563" s="158">
        <v>467500</v>
      </c>
      <c r="AL563" s="158">
        <v>467500</v>
      </c>
      <c r="AM563" s="158">
        <v>2142000</v>
      </c>
      <c r="AN563" s="158">
        <v>467500</v>
      </c>
      <c r="AO563" s="158">
        <v>467500</v>
      </c>
      <c r="AP563" s="158">
        <v>467000</v>
      </c>
      <c r="AQ563" s="432">
        <v>0</v>
      </c>
      <c r="AR563" s="432">
        <v>0</v>
      </c>
      <c r="AS563" s="432">
        <v>0</v>
      </c>
      <c r="AT563" s="432">
        <v>0</v>
      </c>
      <c r="AU563" s="432">
        <v>0</v>
      </c>
      <c r="AV563" s="432">
        <v>0</v>
      </c>
      <c r="AW563" s="432">
        <v>0</v>
      </c>
      <c r="AX563" s="432">
        <v>0</v>
      </c>
      <c r="AY563" s="158">
        <v>0</v>
      </c>
      <c r="AZ563" s="158">
        <v>0</v>
      </c>
      <c r="BA563" s="158">
        <v>0</v>
      </c>
      <c r="BB563" s="158">
        <v>0</v>
      </c>
      <c r="BC563" s="158">
        <v>0</v>
      </c>
      <c r="BD563" s="158">
        <v>0</v>
      </c>
      <c r="BE563" s="158">
        <v>0</v>
      </c>
      <c r="BF563" s="160">
        <v>0</v>
      </c>
      <c r="BG563" s="383">
        <v>2023</v>
      </c>
      <c r="BH563" s="383">
        <v>1</v>
      </c>
      <c r="BI563" s="383">
        <v>19</v>
      </c>
      <c r="BK563" s="147" t="str">
        <f>IF(R563=SUM(Z563,AH563,AP563,AX563,BF563),"○","×")</f>
        <v>○</v>
      </c>
    </row>
    <row r="564" spans="1:63" x14ac:dyDescent="0.2">
      <c r="A564" s="428">
        <v>1771</v>
      </c>
      <c r="B564" s="429"/>
      <c r="C564" s="430"/>
      <c r="D564" s="429"/>
      <c r="E564" s="430"/>
      <c r="F564" s="429"/>
      <c r="G564" s="429"/>
      <c r="H564" s="430"/>
      <c r="I564" s="429"/>
      <c r="J564" s="429"/>
      <c r="K564" s="429"/>
      <c r="L564" s="383"/>
      <c r="M564" s="383" t="s">
        <v>596</v>
      </c>
      <c r="N564" s="383" t="s">
        <v>323</v>
      </c>
      <c r="O564" s="383" t="s">
        <v>418</v>
      </c>
      <c r="P564" s="383" t="s">
        <v>970</v>
      </c>
      <c r="Q564" s="383"/>
      <c r="R564" s="431">
        <v>260000</v>
      </c>
      <c r="S564" s="158">
        <v>0</v>
      </c>
      <c r="T564" s="158">
        <v>0</v>
      </c>
      <c r="U564" s="158">
        <v>0</v>
      </c>
      <c r="V564" s="158">
        <v>0</v>
      </c>
      <c r="W564" s="158">
        <v>0</v>
      </c>
      <c r="X564" s="158">
        <v>0</v>
      </c>
      <c r="Y564" s="158">
        <v>0</v>
      </c>
      <c r="Z564" s="158">
        <v>0</v>
      </c>
      <c r="AA564" s="432">
        <v>0</v>
      </c>
      <c r="AB564" s="432">
        <v>0</v>
      </c>
      <c r="AC564" s="432">
        <v>0</v>
      </c>
      <c r="AD564" s="432">
        <v>0</v>
      </c>
      <c r="AE564" s="432">
        <v>0</v>
      </c>
      <c r="AF564" s="432">
        <v>0</v>
      </c>
      <c r="AG564" s="432">
        <v>0</v>
      </c>
      <c r="AH564" s="432">
        <v>0</v>
      </c>
      <c r="AI564" s="158">
        <v>260080</v>
      </c>
      <c r="AJ564" s="158">
        <v>0</v>
      </c>
      <c r="AK564" s="158">
        <v>260080</v>
      </c>
      <c r="AL564" s="158">
        <v>260080</v>
      </c>
      <c r="AM564" s="158">
        <v>8506800</v>
      </c>
      <c r="AN564" s="158">
        <v>260080</v>
      </c>
      <c r="AO564" s="158">
        <v>260080</v>
      </c>
      <c r="AP564" s="158">
        <v>260000</v>
      </c>
      <c r="AQ564" s="432">
        <v>0</v>
      </c>
      <c r="AR564" s="432">
        <v>0</v>
      </c>
      <c r="AS564" s="432">
        <v>0</v>
      </c>
      <c r="AT564" s="432">
        <v>0</v>
      </c>
      <c r="AU564" s="432">
        <v>0</v>
      </c>
      <c r="AV564" s="432">
        <v>0</v>
      </c>
      <c r="AW564" s="432">
        <v>0</v>
      </c>
      <c r="AX564" s="432">
        <v>0</v>
      </c>
      <c r="AY564" s="158">
        <v>0</v>
      </c>
      <c r="AZ564" s="158">
        <v>0</v>
      </c>
      <c r="BA564" s="158">
        <v>0</v>
      </c>
      <c r="BB564" s="158">
        <v>0</v>
      </c>
      <c r="BC564" s="158">
        <v>0</v>
      </c>
      <c r="BD564" s="158">
        <v>0</v>
      </c>
      <c r="BE564" s="158">
        <v>0</v>
      </c>
      <c r="BF564" s="160">
        <v>0</v>
      </c>
      <c r="BG564" s="383">
        <v>2023</v>
      </c>
      <c r="BH564" s="383">
        <v>1</v>
      </c>
      <c r="BI564" s="383">
        <v>19</v>
      </c>
      <c r="BK564" s="147" t="str">
        <f>IF(R564=SUM(Z564,AH564,AP564,AX564,BF564),"○","×")</f>
        <v>○</v>
      </c>
    </row>
    <row r="565" spans="1:63" x14ac:dyDescent="0.2">
      <c r="A565" s="428">
        <v>1772</v>
      </c>
      <c r="B565" s="429"/>
      <c r="C565" s="430"/>
      <c r="D565" s="429"/>
      <c r="E565" s="430"/>
      <c r="F565" s="429"/>
      <c r="G565" s="429"/>
      <c r="H565" s="430"/>
      <c r="I565" s="429"/>
      <c r="J565" s="429"/>
      <c r="K565" s="429"/>
      <c r="L565" s="383"/>
      <c r="M565" s="383" t="s">
        <v>779</v>
      </c>
      <c r="N565" s="383" t="s">
        <v>384</v>
      </c>
      <c r="O565" s="383" t="s">
        <v>391</v>
      </c>
      <c r="P565" s="383" t="s">
        <v>970</v>
      </c>
      <c r="Q565" s="383"/>
      <c r="R565" s="431">
        <v>448000</v>
      </c>
      <c r="S565" s="158">
        <v>0</v>
      </c>
      <c r="T565" s="158">
        <v>0</v>
      </c>
      <c r="U565" s="158">
        <v>0</v>
      </c>
      <c r="V565" s="158">
        <v>0</v>
      </c>
      <c r="W565" s="158">
        <v>0</v>
      </c>
      <c r="X565" s="158">
        <v>0</v>
      </c>
      <c r="Y565" s="158">
        <v>0</v>
      </c>
      <c r="Z565" s="158">
        <v>0</v>
      </c>
      <c r="AA565" s="432">
        <v>0</v>
      </c>
      <c r="AB565" s="432">
        <v>0</v>
      </c>
      <c r="AC565" s="432">
        <v>0</v>
      </c>
      <c r="AD565" s="432">
        <v>0</v>
      </c>
      <c r="AE565" s="432">
        <v>0</v>
      </c>
      <c r="AF565" s="432">
        <v>0</v>
      </c>
      <c r="AG565" s="432">
        <v>0</v>
      </c>
      <c r="AH565" s="432">
        <v>0</v>
      </c>
      <c r="AI565" s="158">
        <v>448388</v>
      </c>
      <c r="AJ565" s="158">
        <v>0</v>
      </c>
      <c r="AK565" s="158">
        <v>448388</v>
      </c>
      <c r="AL565" s="158">
        <v>448388</v>
      </c>
      <c r="AM565" s="158">
        <v>856800</v>
      </c>
      <c r="AN565" s="158">
        <v>448388</v>
      </c>
      <c r="AO565" s="158">
        <v>448388</v>
      </c>
      <c r="AP565" s="158">
        <v>448000</v>
      </c>
      <c r="AQ565" s="432">
        <v>0</v>
      </c>
      <c r="AR565" s="432">
        <v>0</v>
      </c>
      <c r="AS565" s="432">
        <v>0</v>
      </c>
      <c r="AT565" s="432">
        <v>0</v>
      </c>
      <c r="AU565" s="432">
        <v>0</v>
      </c>
      <c r="AV565" s="432">
        <v>0</v>
      </c>
      <c r="AW565" s="432">
        <v>0</v>
      </c>
      <c r="AX565" s="432">
        <v>0</v>
      </c>
      <c r="AY565" s="158">
        <v>0</v>
      </c>
      <c r="AZ565" s="158">
        <v>0</v>
      </c>
      <c r="BA565" s="158">
        <v>0</v>
      </c>
      <c r="BB565" s="158">
        <v>0</v>
      </c>
      <c r="BC565" s="158">
        <v>0</v>
      </c>
      <c r="BD565" s="158">
        <v>0</v>
      </c>
      <c r="BE565" s="158">
        <v>0</v>
      </c>
      <c r="BF565" s="160">
        <v>0</v>
      </c>
      <c r="BG565" s="383">
        <v>2023</v>
      </c>
      <c r="BH565" s="383">
        <v>1</v>
      </c>
      <c r="BI565" s="383">
        <v>19</v>
      </c>
      <c r="BK565" s="147" t="str">
        <f>IF(R565=SUM(Z565,AH565,AP565,AX565,BF565),"○","×")</f>
        <v>○</v>
      </c>
    </row>
    <row r="566" spans="1:63" x14ac:dyDescent="0.2">
      <c r="A566" s="428">
        <v>1773</v>
      </c>
      <c r="B566" s="429"/>
      <c r="C566" s="430"/>
      <c r="D566" s="429"/>
      <c r="E566" s="430"/>
      <c r="F566" s="429"/>
      <c r="G566" s="429"/>
      <c r="H566" s="430"/>
      <c r="I566" s="429"/>
      <c r="J566" s="429"/>
      <c r="K566" s="429"/>
      <c r="L566" s="383"/>
      <c r="M566" s="383" t="s">
        <v>927</v>
      </c>
      <c r="N566" s="383" t="s">
        <v>353</v>
      </c>
      <c r="O566" s="383" t="s">
        <v>460</v>
      </c>
      <c r="P566" s="383" t="s">
        <v>970</v>
      </c>
      <c r="Q566" s="383"/>
      <c r="R566" s="431">
        <v>47000</v>
      </c>
      <c r="S566" s="158">
        <v>0</v>
      </c>
      <c r="T566" s="158">
        <v>0</v>
      </c>
      <c r="U566" s="158">
        <v>0</v>
      </c>
      <c r="V566" s="158">
        <v>0</v>
      </c>
      <c r="W566" s="158">
        <v>0</v>
      </c>
      <c r="X566" s="158">
        <v>0</v>
      </c>
      <c r="Y566" s="158">
        <v>0</v>
      </c>
      <c r="Z566" s="158">
        <v>0</v>
      </c>
      <c r="AA566" s="432">
        <v>0</v>
      </c>
      <c r="AB566" s="432">
        <v>0</v>
      </c>
      <c r="AC566" s="432">
        <v>0</v>
      </c>
      <c r="AD566" s="432">
        <v>0</v>
      </c>
      <c r="AE566" s="432">
        <v>0</v>
      </c>
      <c r="AF566" s="432">
        <v>0</v>
      </c>
      <c r="AG566" s="432">
        <v>0</v>
      </c>
      <c r="AH566" s="432">
        <v>0</v>
      </c>
      <c r="AI566" s="158">
        <v>47245</v>
      </c>
      <c r="AJ566" s="158">
        <v>0</v>
      </c>
      <c r="AK566" s="158">
        <v>47245</v>
      </c>
      <c r="AL566" s="158">
        <v>47245</v>
      </c>
      <c r="AM566" s="158">
        <v>3528000</v>
      </c>
      <c r="AN566" s="158">
        <v>47245</v>
      </c>
      <c r="AO566" s="158">
        <v>47245</v>
      </c>
      <c r="AP566" s="158">
        <v>47000</v>
      </c>
      <c r="AQ566" s="432">
        <v>0</v>
      </c>
      <c r="AR566" s="432">
        <v>0</v>
      </c>
      <c r="AS566" s="432">
        <v>0</v>
      </c>
      <c r="AT566" s="432">
        <v>0</v>
      </c>
      <c r="AU566" s="432">
        <v>0</v>
      </c>
      <c r="AV566" s="432">
        <v>0</v>
      </c>
      <c r="AW566" s="432">
        <v>0</v>
      </c>
      <c r="AX566" s="432">
        <v>0</v>
      </c>
      <c r="AY566" s="158">
        <v>0</v>
      </c>
      <c r="AZ566" s="158">
        <v>0</v>
      </c>
      <c r="BA566" s="158">
        <v>0</v>
      </c>
      <c r="BB566" s="158">
        <v>0</v>
      </c>
      <c r="BC566" s="158">
        <v>0</v>
      </c>
      <c r="BD566" s="158">
        <v>0</v>
      </c>
      <c r="BE566" s="158">
        <v>0</v>
      </c>
      <c r="BF566" s="160">
        <v>0</v>
      </c>
      <c r="BG566" s="383">
        <v>2023</v>
      </c>
      <c r="BH566" s="383">
        <v>1</v>
      </c>
      <c r="BI566" s="383">
        <v>19</v>
      </c>
      <c r="BK566" s="147" t="str">
        <f>IF(R566=SUM(Z566,AH566,AP566,AX566,BF566),"○","×")</f>
        <v>○</v>
      </c>
    </row>
    <row r="567" spans="1:63" x14ac:dyDescent="0.2">
      <c r="A567" s="428">
        <v>1774</v>
      </c>
      <c r="B567" s="429"/>
      <c r="C567" s="430"/>
      <c r="D567" s="429"/>
      <c r="E567" s="430"/>
      <c r="F567" s="429"/>
      <c r="G567" s="429"/>
      <c r="H567" s="430"/>
      <c r="I567" s="429"/>
      <c r="J567" s="429"/>
      <c r="K567" s="429"/>
      <c r="L567" s="383"/>
      <c r="M567" s="383" t="s">
        <v>581</v>
      </c>
      <c r="N567" s="383" t="s">
        <v>323</v>
      </c>
      <c r="O567" s="383" t="s">
        <v>582</v>
      </c>
      <c r="P567" s="383" t="s">
        <v>970</v>
      </c>
      <c r="Q567" s="383"/>
      <c r="R567" s="431">
        <v>839000</v>
      </c>
      <c r="S567" s="158">
        <v>0</v>
      </c>
      <c r="T567" s="158">
        <v>0</v>
      </c>
      <c r="U567" s="158">
        <v>0</v>
      </c>
      <c r="V567" s="158">
        <v>0</v>
      </c>
      <c r="W567" s="158">
        <v>0</v>
      </c>
      <c r="X567" s="158">
        <v>0</v>
      </c>
      <c r="Y567" s="158">
        <v>0</v>
      </c>
      <c r="Z567" s="158">
        <v>0</v>
      </c>
      <c r="AA567" s="432">
        <v>0</v>
      </c>
      <c r="AB567" s="432">
        <v>0</v>
      </c>
      <c r="AC567" s="432">
        <v>0</v>
      </c>
      <c r="AD567" s="432">
        <v>0</v>
      </c>
      <c r="AE567" s="432">
        <v>0</v>
      </c>
      <c r="AF567" s="432">
        <v>0</v>
      </c>
      <c r="AG567" s="432">
        <v>0</v>
      </c>
      <c r="AH567" s="432">
        <v>0</v>
      </c>
      <c r="AI567" s="158">
        <v>839880</v>
      </c>
      <c r="AJ567" s="158">
        <v>0</v>
      </c>
      <c r="AK567" s="158">
        <v>839880</v>
      </c>
      <c r="AL567" s="158">
        <v>839880</v>
      </c>
      <c r="AM567" s="158">
        <v>1684800</v>
      </c>
      <c r="AN567" s="158">
        <v>839880</v>
      </c>
      <c r="AO567" s="158">
        <v>839880</v>
      </c>
      <c r="AP567" s="158">
        <v>839000</v>
      </c>
      <c r="AQ567" s="432">
        <v>0</v>
      </c>
      <c r="AR567" s="432">
        <v>0</v>
      </c>
      <c r="AS567" s="432">
        <v>0</v>
      </c>
      <c r="AT567" s="432">
        <v>0</v>
      </c>
      <c r="AU567" s="432">
        <v>0</v>
      </c>
      <c r="AV567" s="432">
        <v>0</v>
      </c>
      <c r="AW567" s="432">
        <v>0</v>
      </c>
      <c r="AX567" s="432">
        <v>0</v>
      </c>
      <c r="AY567" s="158">
        <v>0</v>
      </c>
      <c r="AZ567" s="158">
        <v>0</v>
      </c>
      <c r="BA567" s="158">
        <v>0</v>
      </c>
      <c r="BB567" s="158">
        <v>0</v>
      </c>
      <c r="BC567" s="158">
        <v>0</v>
      </c>
      <c r="BD567" s="158">
        <v>0</v>
      </c>
      <c r="BE567" s="158">
        <v>0</v>
      </c>
      <c r="BF567" s="160">
        <v>0</v>
      </c>
      <c r="BG567" s="383">
        <v>2023</v>
      </c>
      <c r="BH567" s="383">
        <v>1</v>
      </c>
      <c r="BI567" s="383">
        <v>19</v>
      </c>
      <c r="BK567" s="147" t="str">
        <f>IF(R567=SUM(Z567,AH567,AP567,AX567,BF567),"○","×")</f>
        <v>○</v>
      </c>
    </row>
    <row r="568" spans="1:63" x14ac:dyDescent="0.2">
      <c r="A568" s="428">
        <v>1775</v>
      </c>
      <c r="B568" s="429"/>
      <c r="C568" s="430"/>
      <c r="D568" s="429"/>
      <c r="E568" s="430"/>
      <c r="F568" s="429"/>
      <c r="G568" s="429"/>
      <c r="H568" s="430"/>
      <c r="I568" s="429"/>
      <c r="J568" s="429"/>
      <c r="K568" s="429"/>
      <c r="L568" s="383"/>
      <c r="M568" s="383" t="s">
        <v>626</v>
      </c>
      <c r="N568" s="383" t="s">
        <v>323</v>
      </c>
      <c r="O568" s="383" t="s">
        <v>351</v>
      </c>
      <c r="P568" s="383" t="s">
        <v>970</v>
      </c>
      <c r="Q568" s="383"/>
      <c r="R568" s="431">
        <v>2102000</v>
      </c>
      <c r="S568" s="158">
        <v>0</v>
      </c>
      <c r="T568" s="158">
        <v>0</v>
      </c>
      <c r="U568" s="158">
        <v>0</v>
      </c>
      <c r="V568" s="158">
        <v>0</v>
      </c>
      <c r="W568" s="158">
        <v>0</v>
      </c>
      <c r="X568" s="158">
        <v>0</v>
      </c>
      <c r="Y568" s="158">
        <v>0</v>
      </c>
      <c r="Z568" s="158">
        <v>0</v>
      </c>
      <c r="AA568" s="432">
        <v>0</v>
      </c>
      <c r="AB568" s="432">
        <v>0</v>
      </c>
      <c r="AC568" s="432">
        <v>0</v>
      </c>
      <c r="AD568" s="432">
        <v>0</v>
      </c>
      <c r="AE568" s="432">
        <v>0</v>
      </c>
      <c r="AF568" s="432">
        <v>0</v>
      </c>
      <c r="AG568" s="432">
        <v>0</v>
      </c>
      <c r="AH568" s="432">
        <v>0</v>
      </c>
      <c r="AI568" s="158">
        <v>2155684</v>
      </c>
      <c r="AJ568" s="158">
        <v>0</v>
      </c>
      <c r="AK568" s="158">
        <v>2155684</v>
      </c>
      <c r="AL568" s="158">
        <v>2155684</v>
      </c>
      <c r="AM568" s="158">
        <v>2102400</v>
      </c>
      <c r="AN568" s="158">
        <v>2102400</v>
      </c>
      <c r="AO568" s="158">
        <v>2102400</v>
      </c>
      <c r="AP568" s="158">
        <v>2102000</v>
      </c>
      <c r="AQ568" s="432">
        <v>0</v>
      </c>
      <c r="AR568" s="432">
        <v>0</v>
      </c>
      <c r="AS568" s="432">
        <v>0</v>
      </c>
      <c r="AT568" s="432">
        <v>0</v>
      </c>
      <c r="AU568" s="432">
        <v>0</v>
      </c>
      <c r="AV568" s="432">
        <v>0</v>
      </c>
      <c r="AW568" s="432">
        <v>0</v>
      </c>
      <c r="AX568" s="432">
        <v>0</v>
      </c>
      <c r="AY568" s="158">
        <v>0</v>
      </c>
      <c r="AZ568" s="158">
        <v>0</v>
      </c>
      <c r="BA568" s="158">
        <v>0</v>
      </c>
      <c r="BB568" s="158">
        <v>0</v>
      </c>
      <c r="BC568" s="158">
        <v>0</v>
      </c>
      <c r="BD568" s="158">
        <v>0</v>
      </c>
      <c r="BE568" s="158">
        <v>0</v>
      </c>
      <c r="BF568" s="160">
        <v>0</v>
      </c>
      <c r="BG568" s="383">
        <v>2023</v>
      </c>
      <c r="BH568" s="383">
        <v>1</v>
      </c>
      <c r="BI568" s="383">
        <v>19</v>
      </c>
      <c r="BK568" s="147" t="str">
        <f>IF(R568=SUM(Z568,AH568,AP568,AX568,BF568),"○","×")</f>
        <v>○</v>
      </c>
    </row>
    <row r="569" spans="1:63" x14ac:dyDescent="0.2">
      <c r="A569" s="428">
        <v>1776</v>
      </c>
      <c r="B569" s="429"/>
      <c r="C569" s="430"/>
      <c r="D569" s="429"/>
      <c r="E569" s="430"/>
      <c r="F569" s="429"/>
      <c r="G569" s="429"/>
      <c r="H569" s="430"/>
      <c r="I569" s="429"/>
      <c r="J569" s="429"/>
      <c r="K569" s="429"/>
      <c r="L569" s="383"/>
      <c r="M569" s="383" t="s">
        <v>362</v>
      </c>
      <c r="N569" s="383" t="s">
        <v>326</v>
      </c>
      <c r="O569" s="383" t="s">
        <v>363</v>
      </c>
      <c r="P569" s="383" t="s">
        <v>970</v>
      </c>
      <c r="Q569" s="383"/>
      <c r="R569" s="431">
        <v>242000</v>
      </c>
      <c r="S569" s="158">
        <v>0</v>
      </c>
      <c r="T569" s="158">
        <v>0</v>
      </c>
      <c r="U569" s="158">
        <v>0</v>
      </c>
      <c r="V569" s="158">
        <v>0</v>
      </c>
      <c r="W569" s="158">
        <v>0</v>
      </c>
      <c r="X569" s="158">
        <v>0</v>
      </c>
      <c r="Y569" s="158">
        <v>0</v>
      </c>
      <c r="Z569" s="158">
        <v>0</v>
      </c>
      <c r="AA569" s="432">
        <v>0</v>
      </c>
      <c r="AB569" s="432">
        <v>0</v>
      </c>
      <c r="AC569" s="432">
        <v>0</v>
      </c>
      <c r="AD569" s="432">
        <v>0</v>
      </c>
      <c r="AE569" s="432">
        <v>0</v>
      </c>
      <c r="AF569" s="432">
        <v>0</v>
      </c>
      <c r="AG569" s="432">
        <v>0</v>
      </c>
      <c r="AH569" s="432">
        <v>0</v>
      </c>
      <c r="AI569" s="158">
        <v>242304</v>
      </c>
      <c r="AJ569" s="158">
        <v>0</v>
      </c>
      <c r="AK569" s="158">
        <v>242304</v>
      </c>
      <c r="AL569" s="158">
        <v>242304</v>
      </c>
      <c r="AM569" s="158">
        <v>3650400</v>
      </c>
      <c r="AN569" s="158">
        <v>242304</v>
      </c>
      <c r="AO569" s="158">
        <v>242304</v>
      </c>
      <c r="AP569" s="158">
        <v>242000</v>
      </c>
      <c r="AQ569" s="432">
        <v>0</v>
      </c>
      <c r="AR569" s="432">
        <v>0</v>
      </c>
      <c r="AS569" s="432">
        <v>0</v>
      </c>
      <c r="AT569" s="432">
        <v>0</v>
      </c>
      <c r="AU569" s="432">
        <v>0</v>
      </c>
      <c r="AV569" s="432">
        <v>0</v>
      </c>
      <c r="AW569" s="432">
        <v>0</v>
      </c>
      <c r="AX569" s="432">
        <v>0</v>
      </c>
      <c r="AY569" s="158">
        <v>0</v>
      </c>
      <c r="AZ569" s="158">
        <v>0</v>
      </c>
      <c r="BA569" s="158">
        <v>0</v>
      </c>
      <c r="BB569" s="158">
        <v>0</v>
      </c>
      <c r="BC569" s="158">
        <v>0</v>
      </c>
      <c r="BD569" s="158">
        <v>0</v>
      </c>
      <c r="BE569" s="158">
        <v>0</v>
      </c>
      <c r="BF569" s="160">
        <v>0</v>
      </c>
      <c r="BG569" s="383">
        <v>2023</v>
      </c>
      <c r="BH569" s="383">
        <v>1</v>
      </c>
      <c r="BI569" s="383">
        <v>19</v>
      </c>
      <c r="BK569" s="147" t="str">
        <f>IF(R569=SUM(Z569,AH569,AP569,AX569,BF569),"○","×")</f>
        <v>○</v>
      </c>
    </row>
    <row r="570" spans="1:63" x14ac:dyDescent="0.2">
      <c r="A570" s="428">
        <v>1777</v>
      </c>
      <c r="B570" s="429"/>
      <c r="C570" s="430"/>
      <c r="D570" s="429"/>
      <c r="E570" s="430"/>
      <c r="F570" s="429"/>
      <c r="G570" s="429"/>
      <c r="H570" s="430"/>
      <c r="I570" s="429"/>
      <c r="J570" s="429"/>
      <c r="K570" s="429"/>
      <c r="L570" s="383"/>
      <c r="M570" s="383" t="s">
        <v>928</v>
      </c>
      <c r="N570" s="383" t="s">
        <v>408</v>
      </c>
      <c r="O570" s="383" t="s">
        <v>466</v>
      </c>
      <c r="P570" s="383" t="s">
        <v>970</v>
      </c>
      <c r="Q570" s="383"/>
      <c r="R570" s="431">
        <v>459000</v>
      </c>
      <c r="S570" s="158">
        <v>0</v>
      </c>
      <c r="T570" s="158">
        <v>0</v>
      </c>
      <c r="U570" s="158">
        <v>0</v>
      </c>
      <c r="V570" s="158">
        <v>0</v>
      </c>
      <c r="W570" s="158">
        <v>0</v>
      </c>
      <c r="X570" s="158">
        <v>0</v>
      </c>
      <c r="Y570" s="158">
        <v>0</v>
      </c>
      <c r="Z570" s="158">
        <v>0</v>
      </c>
      <c r="AA570" s="432">
        <v>0</v>
      </c>
      <c r="AB570" s="432">
        <v>0</v>
      </c>
      <c r="AC570" s="432">
        <v>0</v>
      </c>
      <c r="AD570" s="432">
        <v>0</v>
      </c>
      <c r="AE570" s="432">
        <v>0</v>
      </c>
      <c r="AF570" s="432">
        <v>0</v>
      </c>
      <c r="AG570" s="432">
        <v>0</v>
      </c>
      <c r="AH570" s="432">
        <v>0</v>
      </c>
      <c r="AI570" s="158">
        <v>459360</v>
      </c>
      <c r="AJ570" s="158">
        <v>0</v>
      </c>
      <c r="AK570" s="158">
        <v>459360</v>
      </c>
      <c r="AL570" s="158">
        <v>459360</v>
      </c>
      <c r="AM570" s="158">
        <v>5220000</v>
      </c>
      <c r="AN570" s="158">
        <v>459360</v>
      </c>
      <c r="AO570" s="158">
        <v>459360</v>
      </c>
      <c r="AP570" s="158">
        <v>459000</v>
      </c>
      <c r="AQ570" s="432">
        <v>0</v>
      </c>
      <c r="AR570" s="432">
        <v>0</v>
      </c>
      <c r="AS570" s="432">
        <v>0</v>
      </c>
      <c r="AT570" s="432">
        <v>0</v>
      </c>
      <c r="AU570" s="432">
        <v>0</v>
      </c>
      <c r="AV570" s="432">
        <v>0</v>
      </c>
      <c r="AW570" s="432">
        <v>0</v>
      </c>
      <c r="AX570" s="432">
        <v>0</v>
      </c>
      <c r="AY570" s="158">
        <v>0</v>
      </c>
      <c r="AZ570" s="158">
        <v>0</v>
      </c>
      <c r="BA570" s="158">
        <v>0</v>
      </c>
      <c r="BB570" s="158">
        <v>0</v>
      </c>
      <c r="BC570" s="158">
        <v>0</v>
      </c>
      <c r="BD570" s="158">
        <v>0</v>
      </c>
      <c r="BE570" s="158">
        <v>0</v>
      </c>
      <c r="BF570" s="160">
        <v>0</v>
      </c>
      <c r="BG570" s="383">
        <v>2023</v>
      </c>
      <c r="BH570" s="383">
        <v>1</v>
      </c>
      <c r="BI570" s="383">
        <v>19</v>
      </c>
      <c r="BK570" s="147" t="str">
        <f>IF(R570=SUM(Z570,AH570,AP570,AX570,BF570),"○","×")</f>
        <v>○</v>
      </c>
    </row>
    <row r="571" spans="1:63" x14ac:dyDescent="0.2">
      <c r="A571" s="428">
        <v>1779</v>
      </c>
      <c r="B571" s="429"/>
      <c r="C571" s="430"/>
      <c r="D571" s="429"/>
      <c r="E571" s="430"/>
      <c r="F571" s="429"/>
      <c r="G571" s="429"/>
      <c r="H571" s="430"/>
      <c r="I571" s="429"/>
      <c r="J571" s="429"/>
      <c r="K571" s="429"/>
      <c r="L571" s="383"/>
      <c r="M571" s="383" t="s">
        <v>891</v>
      </c>
      <c r="N571" s="383" t="s">
        <v>547</v>
      </c>
      <c r="O571" s="383" t="s">
        <v>892</v>
      </c>
      <c r="P571" s="383" t="s">
        <v>970</v>
      </c>
      <c r="Q571" s="383"/>
      <c r="R571" s="431">
        <v>91000</v>
      </c>
      <c r="S571" s="158">
        <v>0</v>
      </c>
      <c r="T571" s="158">
        <v>0</v>
      </c>
      <c r="U571" s="158">
        <v>0</v>
      </c>
      <c r="V571" s="158">
        <v>0</v>
      </c>
      <c r="W571" s="158">
        <v>0</v>
      </c>
      <c r="X571" s="158">
        <v>0</v>
      </c>
      <c r="Y571" s="158">
        <v>0</v>
      </c>
      <c r="Z571" s="158">
        <v>0</v>
      </c>
      <c r="AA571" s="432">
        <v>0</v>
      </c>
      <c r="AB571" s="432">
        <v>0</v>
      </c>
      <c r="AC571" s="432">
        <v>0</v>
      </c>
      <c r="AD571" s="432">
        <v>0</v>
      </c>
      <c r="AE571" s="432">
        <v>0</v>
      </c>
      <c r="AF571" s="432">
        <v>0</v>
      </c>
      <c r="AG571" s="432">
        <v>0</v>
      </c>
      <c r="AH571" s="432">
        <v>0</v>
      </c>
      <c r="AI571" s="158">
        <v>91000</v>
      </c>
      <c r="AJ571" s="158">
        <v>0</v>
      </c>
      <c r="AK571" s="158">
        <v>91000</v>
      </c>
      <c r="AL571" s="158">
        <v>91000</v>
      </c>
      <c r="AM571" s="158">
        <v>4212000</v>
      </c>
      <c r="AN571" s="158">
        <v>91000</v>
      </c>
      <c r="AO571" s="158">
        <v>91000</v>
      </c>
      <c r="AP571" s="158">
        <v>91000</v>
      </c>
      <c r="AQ571" s="432">
        <v>0</v>
      </c>
      <c r="AR571" s="432">
        <v>0</v>
      </c>
      <c r="AS571" s="432">
        <v>0</v>
      </c>
      <c r="AT571" s="432">
        <v>0</v>
      </c>
      <c r="AU571" s="432">
        <v>0</v>
      </c>
      <c r="AV571" s="432">
        <v>0</v>
      </c>
      <c r="AW571" s="432">
        <v>0</v>
      </c>
      <c r="AX571" s="432">
        <v>0</v>
      </c>
      <c r="AY571" s="158">
        <v>0</v>
      </c>
      <c r="AZ571" s="158">
        <v>0</v>
      </c>
      <c r="BA571" s="158">
        <v>0</v>
      </c>
      <c r="BB571" s="158">
        <v>0</v>
      </c>
      <c r="BC571" s="158">
        <v>0</v>
      </c>
      <c r="BD571" s="158">
        <v>0</v>
      </c>
      <c r="BE571" s="158">
        <v>0</v>
      </c>
      <c r="BF571" s="160">
        <v>0</v>
      </c>
      <c r="BG571" s="383">
        <v>2023</v>
      </c>
      <c r="BH571" s="383">
        <v>1</v>
      </c>
      <c r="BI571" s="383">
        <v>19</v>
      </c>
      <c r="BK571" s="147" t="str">
        <f>IF(R571=SUM(Z571,AH571,AP571,AX571,BF571),"○","×")</f>
        <v>○</v>
      </c>
    </row>
    <row r="572" spans="1:63" x14ac:dyDescent="0.2">
      <c r="A572" s="428">
        <v>1780</v>
      </c>
      <c r="B572" s="429"/>
      <c r="C572" s="430"/>
      <c r="D572" s="429"/>
      <c r="E572" s="430"/>
      <c r="F572" s="429"/>
      <c r="G572" s="429"/>
      <c r="H572" s="430"/>
      <c r="I572" s="429"/>
      <c r="J572" s="429"/>
      <c r="K572" s="429"/>
      <c r="L572" s="383"/>
      <c r="M572" s="383" t="s">
        <v>929</v>
      </c>
      <c r="N572" s="383" t="s">
        <v>356</v>
      </c>
      <c r="O572" s="383" t="s">
        <v>481</v>
      </c>
      <c r="P572" s="383" t="s">
        <v>970</v>
      </c>
      <c r="Q572" s="383"/>
      <c r="R572" s="431">
        <v>100000</v>
      </c>
      <c r="S572" s="158">
        <v>0</v>
      </c>
      <c r="T572" s="158">
        <v>0</v>
      </c>
      <c r="U572" s="158">
        <v>0</v>
      </c>
      <c r="V572" s="158">
        <v>0</v>
      </c>
      <c r="W572" s="158">
        <v>0</v>
      </c>
      <c r="X572" s="158">
        <v>0</v>
      </c>
      <c r="Y572" s="158">
        <v>0</v>
      </c>
      <c r="Z572" s="158">
        <v>0</v>
      </c>
      <c r="AA572" s="432">
        <v>0</v>
      </c>
      <c r="AB572" s="432">
        <v>0</v>
      </c>
      <c r="AC572" s="432">
        <v>0</v>
      </c>
      <c r="AD572" s="432">
        <v>0</v>
      </c>
      <c r="AE572" s="432">
        <v>0</v>
      </c>
      <c r="AF572" s="432">
        <v>0</v>
      </c>
      <c r="AG572" s="432">
        <v>0</v>
      </c>
      <c r="AH572" s="432">
        <v>0</v>
      </c>
      <c r="AI572" s="158">
        <v>100320</v>
      </c>
      <c r="AJ572" s="158">
        <v>0</v>
      </c>
      <c r="AK572" s="158">
        <v>100320</v>
      </c>
      <c r="AL572" s="158">
        <v>100320</v>
      </c>
      <c r="AM572" s="158">
        <v>1440000</v>
      </c>
      <c r="AN572" s="158">
        <v>100320</v>
      </c>
      <c r="AO572" s="158">
        <v>100320</v>
      </c>
      <c r="AP572" s="158">
        <v>100000</v>
      </c>
      <c r="AQ572" s="432">
        <v>0</v>
      </c>
      <c r="AR572" s="432">
        <v>0</v>
      </c>
      <c r="AS572" s="432">
        <v>0</v>
      </c>
      <c r="AT572" s="432">
        <v>0</v>
      </c>
      <c r="AU572" s="432">
        <v>0</v>
      </c>
      <c r="AV572" s="432">
        <v>0</v>
      </c>
      <c r="AW572" s="432">
        <v>0</v>
      </c>
      <c r="AX572" s="432">
        <v>0</v>
      </c>
      <c r="AY572" s="158">
        <v>0</v>
      </c>
      <c r="AZ572" s="158">
        <v>0</v>
      </c>
      <c r="BA572" s="158">
        <v>0</v>
      </c>
      <c r="BB572" s="158">
        <v>0</v>
      </c>
      <c r="BC572" s="158">
        <v>0</v>
      </c>
      <c r="BD572" s="158">
        <v>0</v>
      </c>
      <c r="BE572" s="158">
        <v>0</v>
      </c>
      <c r="BF572" s="160">
        <v>0</v>
      </c>
      <c r="BG572" s="383">
        <v>2023</v>
      </c>
      <c r="BH572" s="383">
        <v>1</v>
      </c>
      <c r="BI572" s="383">
        <v>19</v>
      </c>
      <c r="BK572" s="147" t="str">
        <f>IF(R572=SUM(Z572,AH572,AP572,AX572,BF572),"○","×")</f>
        <v>○</v>
      </c>
    </row>
    <row r="573" spans="1:63" s="152" customFormat="1" x14ac:dyDescent="0.2">
      <c r="A573" s="428">
        <v>1781</v>
      </c>
      <c r="B573" s="429"/>
      <c r="C573" s="430"/>
      <c r="D573" s="429"/>
      <c r="E573" s="430"/>
      <c r="F573" s="429"/>
      <c r="G573" s="429"/>
      <c r="H573" s="430"/>
      <c r="I573" s="429"/>
      <c r="J573" s="429"/>
      <c r="K573" s="429"/>
      <c r="L573" s="383"/>
      <c r="M573" s="383" t="s">
        <v>930</v>
      </c>
      <c r="N573" s="383" t="s">
        <v>329</v>
      </c>
      <c r="O573" s="383" t="s">
        <v>676</v>
      </c>
      <c r="P573" s="383" t="s">
        <v>970</v>
      </c>
      <c r="Q573" s="383"/>
      <c r="R573" s="431">
        <v>518000</v>
      </c>
      <c r="S573" s="158">
        <v>0</v>
      </c>
      <c r="T573" s="158">
        <v>0</v>
      </c>
      <c r="U573" s="158">
        <v>0</v>
      </c>
      <c r="V573" s="158">
        <v>0</v>
      </c>
      <c r="W573" s="158">
        <v>0</v>
      </c>
      <c r="X573" s="158">
        <v>0</v>
      </c>
      <c r="Y573" s="158">
        <v>0</v>
      </c>
      <c r="Z573" s="158">
        <v>0</v>
      </c>
      <c r="AA573" s="432">
        <v>0</v>
      </c>
      <c r="AB573" s="432">
        <v>0</v>
      </c>
      <c r="AC573" s="432">
        <v>0</v>
      </c>
      <c r="AD573" s="432">
        <v>0</v>
      </c>
      <c r="AE573" s="432">
        <v>0</v>
      </c>
      <c r="AF573" s="432">
        <v>0</v>
      </c>
      <c r="AG573" s="432">
        <v>0</v>
      </c>
      <c r="AH573" s="432">
        <v>0</v>
      </c>
      <c r="AI573" s="158">
        <v>518455</v>
      </c>
      <c r="AJ573" s="158">
        <v>0</v>
      </c>
      <c r="AK573" s="158">
        <v>518455</v>
      </c>
      <c r="AL573" s="158">
        <v>518455</v>
      </c>
      <c r="AM573" s="158">
        <v>1029600</v>
      </c>
      <c r="AN573" s="158">
        <v>518455</v>
      </c>
      <c r="AO573" s="158">
        <v>518455</v>
      </c>
      <c r="AP573" s="158">
        <v>518000</v>
      </c>
      <c r="AQ573" s="432">
        <v>0</v>
      </c>
      <c r="AR573" s="432">
        <v>0</v>
      </c>
      <c r="AS573" s="432">
        <v>0</v>
      </c>
      <c r="AT573" s="432">
        <v>0</v>
      </c>
      <c r="AU573" s="432">
        <v>0</v>
      </c>
      <c r="AV573" s="432">
        <v>0</v>
      </c>
      <c r="AW573" s="432">
        <v>0</v>
      </c>
      <c r="AX573" s="432">
        <v>0</v>
      </c>
      <c r="AY573" s="158">
        <v>0</v>
      </c>
      <c r="AZ573" s="158">
        <v>0</v>
      </c>
      <c r="BA573" s="158">
        <v>0</v>
      </c>
      <c r="BB573" s="158">
        <v>0</v>
      </c>
      <c r="BC573" s="158">
        <v>0</v>
      </c>
      <c r="BD573" s="158">
        <v>0</v>
      </c>
      <c r="BE573" s="158">
        <v>0</v>
      </c>
      <c r="BF573" s="160">
        <v>0</v>
      </c>
      <c r="BG573" s="383">
        <v>2023</v>
      </c>
      <c r="BH573" s="383">
        <v>1</v>
      </c>
      <c r="BI573" s="383">
        <v>19</v>
      </c>
      <c r="BJ573" s="148"/>
      <c r="BK573" s="147" t="str">
        <f>IF(R573=SUM(Z573,AH573,AP573,AX573,BF573),"○","×")</f>
        <v>○</v>
      </c>
    </row>
    <row r="574" spans="1:63" s="152" customFormat="1" x14ac:dyDescent="0.2">
      <c r="A574" s="428">
        <v>1782</v>
      </c>
      <c r="B574" s="429"/>
      <c r="C574" s="430"/>
      <c r="D574" s="429"/>
      <c r="E574" s="430"/>
      <c r="F574" s="429"/>
      <c r="G574" s="429"/>
      <c r="H574" s="430"/>
      <c r="I574" s="429"/>
      <c r="J574" s="429"/>
      <c r="K574" s="429"/>
      <c r="L574" s="383"/>
      <c r="M574" s="383" t="s">
        <v>639</v>
      </c>
      <c r="N574" s="383" t="s">
        <v>326</v>
      </c>
      <c r="O574" s="383" t="s">
        <v>338</v>
      </c>
      <c r="P574" s="383" t="s">
        <v>970</v>
      </c>
      <c r="Q574" s="383"/>
      <c r="R574" s="431">
        <v>240000</v>
      </c>
      <c r="S574" s="158">
        <v>0</v>
      </c>
      <c r="T574" s="158">
        <v>0</v>
      </c>
      <c r="U574" s="158">
        <v>0</v>
      </c>
      <c r="V574" s="158">
        <v>0</v>
      </c>
      <c r="W574" s="158">
        <v>0</v>
      </c>
      <c r="X574" s="158">
        <v>0</v>
      </c>
      <c r="Y574" s="158">
        <v>0</v>
      </c>
      <c r="Z574" s="158">
        <v>0</v>
      </c>
      <c r="AA574" s="432">
        <v>0</v>
      </c>
      <c r="AB574" s="432">
        <v>0</v>
      </c>
      <c r="AC574" s="432">
        <v>0</v>
      </c>
      <c r="AD574" s="432">
        <v>0</v>
      </c>
      <c r="AE574" s="432">
        <v>0</v>
      </c>
      <c r="AF574" s="432">
        <v>0</v>
      </c>
      <c r="AG574" s="432">
        <v>0</v>
      </c>
      <c r="AH574" s="432">
        <v>0</v>
      </c>
      <c r="AI574" s="158">
        <v>240204</v>
      </c>
      <c r="AJ574" s="158">
        <v>0</v>
      </c>
      <c r="AK574" s="158">
        <v>240204</v>
      </c>
      <c r="AL574" s="158">
        <v>240204</v>
      </c>
      <c r="AM574" s="158">
        <v>1328400</v>
      </c>
      <c r="AN574" s="158">
        <v>240204</v>
      </c>
      <c r="AO574" s="158">
        <v>240204</v>
      </c>
      <c r="AP574" s="158">
        <v>240000</v>
      </c>
      <c r="AQ574" s="432">
        <v>0</v>
      </c>
      <c r="AR574" s="432">
        <v>0</v>
      </c>
      <c r="AS574" s="432">
        <v>0</v>
      </c>
      <c r="AT574" s="432">
        <v>0</v>
      </c>
      <c r="AU574" s="432">
        <v>0</v>
      </c>
      <c r="AV574" s="432">
        <v>0</v>
      </c>
      <c r="AW574" s="432">
        <v>0</v>
      </c>
      <c r="AX574" s="432">
        <v>0</v>
      </c>
      <c r="AY574" s="158">
        <v>0</v>
      </c>
      <c r="AZ574" s="158">
        <v>0</v>
      </c>
      <c r="BA574" s="158">
        <v>0</v>
      </c>
      <c r="BB574" s="158">
        <v>0</v>
      </c>
      <c r="BC574" s="158">
        <v>0</v>
      </c>
      <c r="BD574" s="158">
        <v>0</v>
      </c>
      <c r="BE574" s="158">
        <v>0</v>
      </c>
      <c r="BF574" s="160">
        <v>0</v>
      </c>
      <c r="BG574" s="383">
        <v>2023</v>
      </c>
      <c r="BH574" s="383">
        <v>1</v>
      </c>
      <c r="BI574" s="383">
        <v>19</v>
      </c>
      <c r="BJ574" s="148"/>
      <c r="BK574" s="147" t="str">
        <f>IF(R574=SUM(Z574,AH574,AP574,AX574,BF574),"○","×")</f>
        <v>○</v>
      </c>
    </row>
    <row r="575" spans="1:63" x14ac:dyDescent="0.2">
      <c r="A575" s="428">
        <v>1783</v>
      </c>
      <c r="B575" s="429"/>
      <c r="C575" s="430"/>
      <c r="D575" s="429"/>
      <c r="E575" s="430"/>
      <c r="F575" s="429"/>
      <c r="G575" s="429"/>
      <c r="H575" s="430"/>
      <c r="I575" s="429"/>
      <c r="J575" s="429"/>
      <c r="K575" s="429"/>
      <c r="L575" s="383"/>
      <c r="M575" s="383" t="s">
        <v>388</v>
      </c>
      <c r="N575" s="383" t="s">
        <v>353</v>
      </c>
      <c r="O575" s="383" t="s">
        <v>389</v>
      </c>
      <c r="P575" s="383" t="s">
        <v>970</v>
      </c>
      <c r="Q575" s="383"/>
      <c r="R575" s="431">
        <v>215000</v>
      </c>
      <c r="S575" s="158">
        <v>0</v>
      </c>
      <c r="T575" s="158">
        <v>0</v>
      </c>
      <c r="U575" s="158">
        <v>0</v>
      </c>
      <c r="V575" s="158">
        <v>0</v>
      </c>
      <c r="W575" s="158">
        <v>0</v>
      </c>
      <c r="X575" s="158">
        <v>0</v>
      </c>
      <c r="Y575" s="158">
        <v>0</v>
      </c>
      <c r="Z575" s="158">
        <v>0</v>
      </c>
      <c r="AA575" s="432">
        <v>0</v>
      </c>
      <c r="AB575" s="432">
        <v>0</v>
      </c>
      <c r="AC575" s="432">
        <v>0</v>
      </c>
      <c r="AD575" s="432">
        <v>0</v>
      </c>
      <c r="AE575" s="432">
        <v>0</v>
      </c>
      <c r="AF575" s="432">
        <v>0</v>
      </c>
      <c r="AG575" s="432">
        <v>0</v>
      </c>
      <c r="AH575" s="432">
        <v>0</v>
      </c>
      <c r="AI575" s="158">
        <v>215210</v>
      </c>
      <c r="AJ575" s="158">
        <v>0</v>
      </c>
      <c r="AK575" s="158">
        <v>215210</v>
      </c>
      <c r="AL575" s="158">
        <v>215210</v>
      </c>
      <c r="AM575" s="158">
        <v>189734400</v>
      </c>
      <c r="AN575" s="158">
        <v>215210</v>
      </c>
      <c r="AO575" s="158">
        <v>215210</v>
      </c>
      <c r="AP575" s="158">
        <v>215000</v>
      </c>
      <c r="AQ575" s="432">
        <v>0</v>
      </c>
      <c r="AR575" s="432">
        <v>0</v>
      </c>
      <c r="AS575" s="432">
        <v>0</v>
      </c>
      <c r="AT575" s="432">
        <v>0</v>
      </c>
      <c r="AU575" s="432">
        <v>0</v>
      </c>
      <c r="AV575" s="432">
        <v>0</v>
      </c>
      <c r="AW575" s="432">
        <v>0</v>
      </c>
      <c r="AX575" s="432">
        <v>0</v>
      </c>
      <c r="AY575" s="158">
        <v>0</v>
      </c>
      <c r="AZ575" s="158">
        <v>0</v>
      </c>
      <c r="BA575" s="158">
        <v>0</v>
      </c>
      <c r="BB575" s="158">
        <v>0</v>
      </c>
      <c r="BC575" s="158">
        <v>0</v>
      </c>
      <c r="BD575" s="158">
        <v>0</v>
      </c>
      <c r="BE575" s="158">
        <v>0</v>
      </c>
      <c r="BF575" s="160">
        <v>0</v>
      </c>
      <c r="BG575" s="383">
        <v>2023</v>
      </c>
      <c r="BH575" s="383">
        <v>1</v>
      </c>
      <c r="BI575" s="383">
        <v>19</v>
      </c>
      <c r="BK575" s="147" t="str">
        <f>IF(R575=SUM(Z575,AH575,AP575,AX575,BF575),"○","×")</f>
        <v>○</v>
      </c>
    </row>
    <row r="576" spans="1:63" x14ac:dyDescent="0.2">
      <c r="A576" s="428">
        <v>1784</v>
      </c>
      <c r="B576" s="429"/>
      <c r="C576" s="430"/>
      <c r="D576" s="429"/>
      <c r="E576" s="430"/>
      <c r="F576" s="429"/>
      <c r="G576" s="429"/>
      <c r="H576" s="430"/>
      <c r="I576" s="429"/>
      <c r="J576" s="429"/>
      <c r="K576" s="429"/>
      <c r="L576" s="383"/>
      <c r="M576" s="383" t="s">
        <v>691</v>
      </c>
      <c r="N576" s="383" t="s">
        <v>323</v>
      </c>
      <c r="O576" s="383" t="s">
        <v>692</v>
      </c>
      <c r="P576" s="383" t="s">
        <v>970</v>
      </c>
      <c r="Q576" s="383"/>
      <c r="R576" s="431">
        <v>197000</v>
      </c>
      <c r="S576" s="158">
        <v>0</v>
      </c>
      <c r="T576" s="158">
        <v>0</v>
      </c>
      <c r="U576" s="158">
        <v>0</v>
      </c>
      <c r="V576" s="158">
        <v>0</v>
      </c>
      <c r="W576" s="158">
        <v>0</v>
      </c>
      <c r="X576" s="158">
        <v>0</v>
      </c>
      <c r="Y576" s="158">
        <v>0</v>
      </c>
      <c r="Z576" s="158">
        <v>0</v>
      </c>
      <c r="AA576" s="432">
        <v>0</v>
      </c>
      <c r="AB576" s="432">
        <v>0</v>
      </c>
      <c r="AC576" s="432">
        <v>0</v>
      </c>
      <c r="AD576" s="432">
        <v>0</v>
      </c>
      <c r="AE576" s="432">
        <v>0</v>
      </c>
      <c r="AF576" s="432">
        <v>0</v>
      </c>
      <c r="AG576" s="432">
        <v>0</v>
      </c>
      <c r="AH576" s="432">
        <v>0</v>
      </c>
      <c r="AI576" s="158">
        <v>197758</v>
      </c>
      <c r="AJ576" s="158">
        <v>0</v>
      </c>
      <c r="AK576" s="158">
        <v>197758</v>
      </c>
      <c r="AL576" s="158">
        <v>197758</v>
      </c>
      <c r="AM576" s="158">
        <v>2088000</v>
      </c>
      <c r="AN576" s="158">
        <v>197758</v>
      </c>
      <c r="AO576" s="158">
        <v>197758</v>
      </c>
      <c r="AP576" s="158">
        <v>197000</v>
      </c>
      <c r="AQ576" s="432">
        <v>0</v>
      </c>
      <c r="AR576" s="432">
        <v>0</v>
      </c>
      <c r="AS576" s="432">
        <v>0</v>
      </c>
      <c r="AT576" s="432">
        <v>0</v>
      </c>
      <c r="AU576" s="432">
        <v>0</v>
      </c>
      <c r="AV576" s="432">
        <v>0</v>
      </c>
      <c r="AW576" s="432">
        <v>0</v>
      </c>
      <c r="AX576" s="432">
        <v>0</v>
      </c>
      <c r="AY576" s="158">
        <v>0</v>
      </c>
      <c r="AZ576" s="158">
        <v>0</v>
      </c>
      <c r="BA576" s="158">
        <v>0</v>
      </c>
      <c r="BB576" s="158">
        <v>0</v>
      </c>
      <c r="BC576" s="158">
        <v>0</v>
      </c>
      <c r="BD576" s="158">
        <v>0</v>
      </c>
      <c r="BE576" s="158">
        <v>0</v>
      </c>
      <c r="BF576" s="160">
        <v>0</v>
      </c>
      <c r="BG576" s="383">
        <v>2023</v>
      </c>
      <c r="BH576" s="383">
        <v>1</v>
      </c>
      <c r="BI576" s="383">
        <v>19</v>
      </c>
      <c r="BK576" s="147" t="str">
        <f>IF(R576=SUM(Z576,AH576,AP576,AX576,BF576),"○","×")</f>
        <v>○</v>
      </c>
    </row>
    <row r="577" spans="1:63" x14ac:dyDescent="0.2">
      <c r="A577" s="428">
        <v>1785</v>
      </c>
      <c r="B577" s="429"/>
      <c r="C577" s="430"/>
      <c r="D577" s="429"/>
      <c r="E577" s="430"/>
      <c r="F577" s="429"/>
      <c r="G577" s="429"/>
      <c r="H577" s="430"/>
      <c r="I577" s="429"/>
      <c r="J577" s="429"/>
      <c r="K577" s="429"/>
      <c r="L577" s="383"/>
      <c r="M577" s="383" t="s">
        <v>552</v>
      </c>
      <c r="N577" s="383" t="s">
        <v>353</v>
      </c>
      <c r="O577" s="383" t="s">
        <v>346</v>
      </c>
      <c r="P577" s="383" t="s">
        <v>970</v>
      </c>
      <c r="Q577" s="383"/>
      <c r="R577" s="431">
        <v>79000</v>
      </c>
      <c r="S577" s="158">
        <v>0</v>
      </c>
      <c r="T577" s="158">
        <v>0</v>
      </c>
      <c r="U577" s="158">
        <v>0</v>
      </c>
      <c r="V577" s="158">
        <v>0</v>
      </c>
      <c r="W577" s="158">
        <v>0</v>
      </c>
      <c r="X577" s="158">
        <v>0</v>
      </c>
      <c r="Y577" s="158">
        <v>0</v>
      </c>
      <c r="Z577" s="158">
        <v>0</v>
      </c>
      <c r="AA577" s="432">
        <v>0</v>
      </c>
      <c r="AB577" s="432">
        <v>0</v>
      </c>
      <c r="AC577" s="432">
        <v>0</v>
      </c>
      <c r="AD577" s="432">
        <v>0</v>
      </c>
      <c r="AE577" s="432">
        <v>0</v>
      </c>
      <c r="AF577" s="432">
        <v>0</v>
      </c>
      <c r="AG577" s="432">
        <v>0</v>
      </c>
      <c r="AH577" s="432">
        <v>0</v>
      </c>
      <c r="AI577" s="158">
        <v>79720</v>
      </c>
      <c r="AJ577" s="158">
        <v>0</v>
      </c>
      <c r="AK577" s="158">
        <v>79720</v>
      </c>
      <c r="AL577" s="158">
        <v>79720</v>
      </c>
      <c r="AM577" s="158">
        <v>1044000</v>
      </c>
      <c r="AN577" s="158">
        <v>79720</v>
      </c>
      <c r="AO577" s="158">
        <v>79720</v>
      </c>
      <c r="AP577" s="158">
        <v>79000</v>
      </c>
      <c r="AQ577" s="432">
        <v>0</v>
      </c>
      <c r="AR577" s="432">
        <v>0</v>
      </c>
      <c r="AS577" s="432">
        <v>0</v>
      </c>
      <c r="AT577" s="432">
        <v>0</v>
      </c>
      <c r="AU577" s="432">
        <v>0</v>
      </c>
      <c r="AV577" s="432">
        <v>0</v>
      </c>
      <c r="AW577" s="432">
        <v>0</v>
      </c>
      <c r="AX577" s="432">
        <v>0</v>
      </c>
      <c r="AY577" s="158">
        <v>0</v>
      </c>
      <c r="AZ577" s="158">
        <v>0</v>
      </c>
      <c r="BA577" s="158">
        <v>0</v>
      </c>
      <c r="BB577" s="158">
        <v>0</v>
      </c>
      <c r="BC577" s="158">
        <v>0</v>
      </c>
      <c r="BD577" s="158">
        <v>0</v>
      </c>
      <c r="BE577" s="158">
        <v>0</v>
      </c>
      <c r="BF577" s="160">
        <v>0</v>
      </c>
      <c r="BG577" s="383">
        <v>2023</v>
      </c>
      <c r="BH577" s="383">
        <v>1</v>
      </c>
      <c r="BI577" s="383">
        <v>19</v>
      </c>
      <c r="BJ577" s="152"/>
      <c r="BK577" s="147" t="str">
        <f>IF(R577=SUM(Z577,AH577,AP577,AX577,BF577),"○","×")</f>
        <v>○</v>
      </c>
    </row>
    <row r="578" spans="1:63" s="152" customFormat="1" x14ac:dyDescent="0.2">
      <c r="A578" s="428">
        <v>1786</v>
      </c>
      <c r="B578" s="429"/>
      <c r="C578" s="430"/>
      <c r="D578" s="429"/>
      <c r="E578" s="430"/>
      <c r="F578" s="429"/>
      <c r="G578" s="429"/>
      <c r="H578" s="430"/>
      <c r="I578" s="429"/>
      <c r="J578" s="429"/>
      <c r="K578" s="429"/>
      <c r="L578" s="383"/>
      <c r="M578" s="383" t="s">
        <v>890</v>
      </c>
      <c r="N578" s="383" t="s">
        <v>340</v>
      </c>
      <c r="O578" s="383" t="s">
        <v>619</v>
      </c>
      <c r="P578" s="383" t="s">
        <v>970</v>
      </c>
      <c r="Q578" s="383"/>
      <c r="R578" s="431">
        <v>87000</v>
      </c>
      <c r="S578" s="158">
        <v>0</v>
      </c>
      <c r="T578" s="158">
        <v>0</v>
      </c>
      <c r="U578" s="158">
        <v>0</v>
      </c>
      <c r="V578" s="158">
        <v>0</v>
      </c>
      <c r="W578" s="158">
        <v>0</v>
      </c>
      <c r="X578" s="158">
        <v>0</v>
      </c>
      <c r="Y578" s="158">
        <v>0</v>
      </c>
      <c r="Z578" s="158">
        <v>0</v>
      </c>
      <c r="AA578" s="432">
        <v>0</v>
      </c>
      <c r="AB578" s="432">
        <v>0</v>
      </c>
      <c r="AC578" s="432">
        <v>0</v>
      </c>
      <c r="AD578" s="432">
        <v>0</v>
      </c>
      <c r="AE578" s="432">
        <v>0</v>
      </c>
      <c r="AF578" s="432">
        <v>0</v>
      </c>
      <c r="AG578" s="432">
        <v>0</v>
      </c>
      <c r="AH578" s="432">
        <v>0</v>
      </c>
      <c r="AI578" s="158">
        <v>87206</v>
      </c>
      <c r="AJ578" s="158">
        <v>0</v>
      </c>
      <c r="AK578" s="158">
        <v>87206</v>
      </c>
      <c r="AL578" s="158">
        <v>87206</v>
      </c>
      <c r="AM578" s="158">
        <v>2610000</v>
      </c>
      <c r="AN578" s="158">
        <v>87206</v>
      </c>
      <c r="AO578" s="158">
        <v>87206</v>
      </c>
      <c r="AP578" s="158">
        <v>87000</v>
      </c>
      <c r="AQ578" s="432">
        <v>0</v>
      </c>
      <c r="AR578" s="432">
        <v>0</v>
      </c>
      <c r="AS578" s="432">
        <v>0</v>
      </c>
      <c r="AT578" s="432">
        <v>0</v>
      </c>
      <c r="AU578" s="432">
        <v>0</v>
      </c>
      <c r="AV578" s="432">
        <v>0</v>
      </c>
      <c r="AW578" s="432">
        <v>0</v>
      </c>
      <c r="AX578" s="432">
        <v>0</v>
      </c>
      <c r="AY578" s="158">
        <v>0</v>
      </c>
      <c r="AZ578" s="158">
        <v>0</v>
      </c>
      <c r="BA578" s="158">
        <v>0</v>
      </c>
      <c r="BB578" s="158">
        <v>0</v>
      </c>
      <c r="BC578" s="158">
        <v>0</v>
      </c>
      <c r="BD578" s="158">
        <v>0</v>
      </c>
      <c r="BE578" s="158">
        <v>0</v>
      </c>
      <c r="BF578" s="160">
        <v>0</v>
      </c>
      <c r="BG578" s="383">
        <v>2023</v>
      </c>
      <c r="BH578" s="383">
        <v>1</v>
      </c>
      <c r="BI578" s="383">
        <v>19</v>
      </c>
      <c r="BK578" s="147" t="str">
        <f>IF(R578=SUM(Z578,AH578,AP578,AX578,BF578),"○","×")</f>
        <v>○</v>
      </c>
    </row>
    <row r="579" spans="1:63" x14ac:dyDescent="0.2">
      <c r="A579" s="428">
        <v>1787</v>
      </c>
      <c r="B579" s="429"/>
      <c r="C579" s="430"/>
      <c r="D579" s="429"/>
      <c r="E579" s="430"/>
      <c r="F579" s="429"/>
      <c r="G579" s="429"/>
      <c r="H579" s="430"/>
      <c r="I579" s="429"/>
      <c r="J579" s="429"/>
      <c r="K579" s="429"/>
      <c r="L579" s="383"/>
      <c r="M579" s="383" t="s">
        <v>931</v>
      </c>
      <c r="N579" s="383" t="s">
        <v>340</v>
      </c>
      <c r="O579" s="383" t="s">
        <v>932</v>
      </c>
      <c r="P579" s="383" t="s">
        <v>970</v>
      </c>
      <c r="Q579" s="383"/>
      <c r="R579" s="431">
        <v>1188000</v>
      </c>
      <c r="S579" s="158">
        <v>0</v>
      </c>
      <c r="T579" s="158">
        <v>0</v>
      </c>
      <c r="U579" s="158">
        <v>0</v>
      </c>
      <c r="V579" s="158">
        <v>0</v>
      </c>
      <c r="W579" s="158">
        <v>0</v>
      </c>
      <c r="X579" s="158">
        <v>0</v>
      </c>
      <c r="Y579" s="158">
        <v>0</v>
      </c>
      <c r="Z579" s="158">
        <v>0</v>
      </c>
      <c r="AA579" s="432">
        <v>0</v>
      </c>
      <c r="AB579" s="432">
        <v>0</v>
      </c>
      <c r="AC579" s="432">
        <v>0</v>
      </c>
      <c r="AD579" s="432">
        <v>0</v>
      </c>
      <c r="AE579" s="432">
        <v>0</v>
      </c>
      <c r="AF579" s="432">
        <v>0</v>
      </c>
      <c r="AG579" s="432">
        <v>0</v>
      </c>
      <c r="AH579" s="432">
        <v>0</v>
      </c>
      <c r="AI579" s="158">
        <v>1188000</v>
      </c>
      <c r="AJ579" s="158">
        <v>0</v>
      </c>
      <c r="AK579" s="158">
        <v>1188000</v>
      </c>
      <c r="AL579" s="158">
        <v>1188000</v>
      </c>
      <c r="AM579" s="158">
        <v>3067200</v>
      </c>
      <c r="AN579" s="158">
        <v>1188000</v>
      </c>
      <c r="AO579" s="158">
        <v>1188000</v>
      </c>
      <c r="AP579" s="158">
        <v>1188000</v>
      </c>
      <c r="AQ579" s="432">
        <v>0</v>
      </c>
      <c r="AR579" s="432">
        <v>0</v>
      </c>
      <c r="AS579" s="432">
        <v>0</v>
      </c>
      <c r="AT579" s="432">
        <v>0</v>
      </c>
      <c r="AU579" s="432">
        <v>0</v>
      </c>
      <c r="AV579" s="432">
        <v>0</v>
      </c>
      <c r="AW579" s="432">
        <v>0</v>
      </c>
      <c r="AX579" s="432">
        <v>0</v>
      </c>
      <c r="AY579" s="158">
        <v>0</v>
      </c>
      <c r="AZ579" s="158">
        <v>0</v>
      </c>
      <c r="BA579" s="158">
        <v>0</v>
      </c>
      <c r="BB579" s="158">
        <v>0</v>
      </c>
      <c r="BC579" s="158">
        <v>0</v>
      </c>
      <c r="BD579" s="158">
        <v>0</v>
      </c>
      <c r="BE579" s="158">
        <v>0</v>
      </c>
      <c r="BF579" s="160">
        <v>0</v>
      </c>
      <c r="BG579" s="383">
        <v>2023</v>
      </c>
      <c r="BH579" s="383">
        <v>1</v>
      </c>
      <c r="BI579" s="383">
        <v>19</v>
      </c>
      <c r="BK579" s="147" t="str">
        <f>IF(R579=SUM(Z579,AH579,AP579,AX579,BF579),"○","×")</f>
        <v>○</v>
      </c>
    </row>
    <row r="580" spans="1:63" x14ac:dyDescent="0.2">
      <c r="A580" s="428">
        <v>1788</v>
      </c>
      <c r="B580" s="429"/>
      <c r="C580" s="430"/>
      <c r="D580" s="429"/>
      <c r="E580" s="430"/>
      <c r="F580" s="429"/>
      <c r="G580" s="429"/>
      <c r="H580" s="430"/>
      <c r="I580" s="429"/>
      <c r="J580" s="429"/>
      <c r="K580" s="429"/>
      <c r="L580" s="383"/>
      <c r="M580" s="383" t="s">
        <v>419</v>
      </c>
      <c r="N580" s="383" t="s">
        <v>343</v>
      </c>
      <c r="O580" s="383" t="s">
        <v>357</v>
      </c>
      <c r="P580" s="383" t="s">
        <v>970</v>
      </c>
      <c r="Q580" s="383"/>
      <c r="R580" s="431">
        <v>176000</v>
      </c>
      <c r="S580" s="158">
        <v>0</v>
      </c>
      <c r="T580" s="158">
        <v>0</v>
      </c>
      <c r="U580" s="158">
        <v>0</v>
      </c>
      <c r="V580" s="158">
        <v>0</v>
      </c>
      <c r="W580" s="158">
        <v>0</v>
      </c>
      <c r="X580" s="158">
        <v>0</v>
      </c>
      <c r="Y580" s="158">
        <v>0</v>
      </c>
      <c r="Z580" s="158">
        <v>0</v>
      </c>
      <c r="AA580" s="432">
        <v>0</v>
      </c>
      <c r="AB580" s="432">
        <v>0</v>
      </c>
      <c r="AC580" s="432">
        <v>0</v>
      </c>
      <c r="AD580" s="432">
        <v>0</v>
      </c>
      <c r="AE580" s="432">
        <v>0</v>
      </c>
      <c r="AF580" s="432">
        <v>0</v>
      </c>
      <c r="AG580" s="432">
        <v>0</v>
      </c>
      <c r="AH580" s="432">
        <v>0</v>
      </c>
      <c r="AI580" s="158">
        <v>176000</v>
      </c>
      <c r="AJ580" s="158">
        <v>0</v>
      </c>
      <c r="AK580" s="158">
        <v>176000</v>
      </c>
      <c r="AL580" s="158">
        <v>176000</v>
      </c>
      <c r="AM580" s="158">
        <v>1296000</v>
      </c>
      <c r="AN580" s="158">
        <v>176000</v>
      </c>
      <c r="AO580" s="158">
        <v>176000</v>
      </c>
      <c r="AP580" s="158">
        <v>176000</v>
      </c>
      <c r="AQ580" s="432">
        <v>0</v>
      </c>
      <c r="AR580" s="432">
        <v>0</v>
      </c>
      <c r="AS580" s="432">
        <v>0</v>
      </c>
      <c r="AT580" s="432">
        <v>0</v>
      </c>
      <c r="AU580" s="432">
        <v>0</v>
      </c>
      <c r="AV580" s="432">
        <v>0</v>
      </c>
      <c r="AW580" s="432">
        <v>0</v>
      </c>
      <c r="AX580" s="432">
        <v>0</v>
      </c>
      <c r="AY580" s="158">
        <v>0</v>
      </c>
      <c r="AZ580" s="158">
        <v>0</v>
      </c>
      <c r="BA580" s="158">
        <v>0</v>
      </c>
      <c r="BB580" s="158">
        <v>0</v>
      </c>
      <c r="BC580" s="158">
        <v>0</v>
      </c>
      <c r="BD580" s="158">
        <v>0</v>
      </c>
      <c r="BE580" s="158">
        <v>0</v>
      </c>
      <c r="BF580" s="160">
        <v>0</v>
      </c>
      <c r="BG580" s="383">
        <v>2023</v>
      </c>
      <c r="BH580" s="383">
        <v>1</v>
      </c>
      <c r="BI580" s="383">
        <v>19</v>
      </c>
      <c r="BK580" s="147" t="str">
        <f>IF(R580=SUM(Z580,AH580,AP580,AX580,BF580),"○","×")</f>
        <v>○</v>
      </c>
    </row>
    <row r="581" spans="1:63" x14ac:dyDescent="0.2">
      <c r="A581" s="428">
        <v>1789</v>
      </c>
      <c r="B581" s="429"/>
      <c r="C581" s="430"/>
      <c r="D581" s="429"/>
      <c r="E581" s="430"/>
      <c r="F581" s="429"/>
      <c r="G581" s="429"/>
      <c r="H581" s="430"/>
      <c r="I581" s="429"/>
      <c r="J581" s="429"/>
      <c r="K581" s="429"/>
      <c r="L581" s="383"/>
      <c r="M581" s="383" t="s">
        <v>509</v>
      </c>
      <c r="N581" s="383" t="s">
        <v>367</v>
      </c>
      <c r="O581" s="383" t="s">
        <v>324</v>
      </c>
      <c r="P581" s="383" t="s">
        <v>970</v>
      </c>
      <c r="Q581" s="383"/>
      <c r="R581" s="431">
        <v>150000</v>
      </c>
      <c r="S581" s="158">
        <v>0</v>
      </c>
      <c r="T581" s="158">
        <v>0</v>
      </c>
      <c r="U581" s="158">
        <v>0</v>
      </c>
      <c r="V581" s="158">
        <v>0</v>
      </c>
      <c r="W581" s="158">
        <v>0</v>
      </c>
      <c r="X581" s="158">
        <v>0</v>
      </c>
      <c r="Y581" s="158">
        <v>0</v>
      </c>
      <c r="Z581" s="158">
        <v>0</v>
      </c>
      <c r="AA581" s="432">
        <v>0</v>
      </c>
      <c r="AB581" s="432">
        <v>0</v>
      </c>
      <c r="AC581" s="432">
        <v>0</v>
      </c>
      <c r="AD581" s="432">
        <v>0</v>
      </c>
      <c r="AE581" s="432">
        <v>0</v>
      </c>
      <c r="AF581" s="432">
        <v>0</v>
      </c>
      <c r="AG581" s="432">
        <v>0</v>
      </c>
      <c r="AH581" s="432">
        <v>0</v>
      </c>
      <c r="AI581" s="158">
        <v>150215</v>
      </c>
      <c r="AJ581" s="158">
        <v>0</v>
      </c>
      <c r="AK581" s="158">
        <v>150215</v>
      </c>
      <c r="AL581" s="158">
        <v>150215</v>
      </c>
      <c r="AM581" s="158">
        <v>2376000</v>
      </c>
      <c r="AN581" s="158">
        <v>150215</v>
      </c>
      <c r="AO581" s="158">
        <v>150215</v>
      </c>
      <c r="AP581" s="158">
        <v>150000</v>
      </c>
      <c r="AQ581" s="432">
        <v>0</v>
      </c>
      <c r="AR581" s="432">
        <v>0</v>
      </c>
      <c r="AS581" s="432">
        <v>0</v>
      </c>
      <c r="AT581" s="432">
        <v>0</v>
      </c>
      <c r="AU581" s="432">
        <v>0</v>
      </c>
      <c r="AV581" s="432">
        <v>0</v>
      </c>
      <c r="AW581" s="432">
        <v>0</v>
      </c>
      <c r="AX581" s="432">
        <v>0</v>
      </c>
      <c r="AY581" s="158">
        <v>0</v>
      </c>
      <c r="AZ581" s="158">
        <v>0</v>
      </c>
      <c r="BA581" s="158">
        <v>0</v>
      </c>
      <c r="BB581" s="158">
        <v>0</v>
      </c>
      <c r="BC581" s="158">
        <v>0</v>
      </c>
      <c r="BD581" s="158">
        <v>0</v>
      </c>
      <c r="BE581" s="158">
        <v>0</v>
      </c>
      <c r="BF581" s="160">
        <v>0</v>
      </c>
      <c r="BG581" s="383">
        <v>2023</v>
      </c>
      <c r="BH581" s="383">
        <v>1</v>
      </c>
      <c r="BI581" s="383">
        <v>19</v>
      </c>
      <c r="BK581" s="147" t="str">
        <f>IF(R581=SUM(Z581,AH581,AP581,AX581,BF581),"○","×")</f>
        <v>○</v>
      </c>
    </row>
    <row r="582" spans="1:63" x14ac:dyDescent="0.2">
      <c r="A582" s="428">
        <v>1791</v>
      </c>
      <c r="B582" s="429"/>
      <c r="C582" s="430"/>
      <c r="D582" s="429"/>
      <c r="E582" s="430"/>
      <c r="F582" s="429"/>
      <c r="G582" s="429"/>
      <c r="H582" s="430"/>
      <c r="I582" s="429"/>
      <c r="J582" s="429"/>
      <c r="K582" s="429"/>
      <c r="L582" s="383"/>
      <c r="M582" s="383" t="s">
        <v>933</v>
      </c>
      <c r="N582" s="383" t="s">
        <v>360</v>
      </c>
      <c r="O582" s="383" t="s">
        <v>934</v>
      </c>
      <c r="P582" s="383" t="s">
        <v>970</v>
      </c>
      <c r="Q582" s="383"/>
      <c r="R582" s="431">
        <v>236000</v>
      </c>
      <c r="S582" s="158">
        <v>0</v>
      </c>
      <c r="T582" s="158">
        <v>0</v>
      </c>
      <c r="U582" s="158">
        <v>0</v>
      </c>
      <c r="V582" s="158">
        <v>0</v>
      </c>
      <c r="W582" s="158">
        <v>0</v>
      </c>
      <c r="X582" s="158">
        <v>0</v>
      </c>
      <c r="Y582" s="158">
        <v>0</v>
      </c>
      <c r="Z582" s="158">
        <v>0</v>
      </c>
      <c r="AA582" s="432">
        <v>0</v>
      </c>
      <c r="AB582" s="432">
        <v>0</v>
      </c>
      <c r="AC582" s="432">
        <v>0</v>
      </c>
      <c r="AD582" s="432">
        <v>0</v>
      </c>
      <c r="AE582" s="432">
        <v>0</v>
      </c>
      <c r="AF582" s="432">
        <v>0</v>
      </c>
      <c r="AG582" s="432">
        <v>0</v>
      </c>
      <c r="AH582" s="432">
        <v>0</v>
      </c>
      <c r="AI582" s="158">
        <v>236794</v>
      </c>
      <c r="AJ582" s="158">
        <v>0</v>
      </c>
      <c r="AK582" s="158">
        <v>236794</v>
      </c>
      <c r="AL582" s="158">
        <v>236794</v>
      </c>
      <c r="AM582" s="158">
        <v>2620800</v>
      </c>
      <c r="AN582" s="158">
        <v>236794</v>
      </c>
      <c r="AO582" s="158">
        <v>236794</v>
      </c>
      <c r="AP582" s="158">
        <v>236000</v>
      </c>
      <c r="AQ582" s="432">
        <v>0</v>
      </c>
      <c r="AR582" s="432">
        <v>0</v>
      </c>
      <c r="AS582" s="432">
        <v>0</v>
      </c>
      <c r="AT582" s="432">
        <v>0</v>
      </c>
      <c r="AU582" s="432">
        <v>0</v>
      </c>
      <c r="AV582" s="432">
        <v>0</v>
      </c>
      <c r="AW582" s="432">
        <v>0</v>
      </c>
      <c r="AX582" s="432">
        <v>0</v>
      </c>
      <c r="AY582" s="158">
        <v>0</v>
      </c>
      <c r="AZ582" s="158">
        <v>0</v>
      </c>
      <c r="BA582" s="158">
        <v>0</v>
      </c>
      <c r="BB582" s="158">
        <v>0</v>
      </c>
      <c r="BC582" s="158">
        <v>0</v>
      </c>
      <c r="BD582" s="158">
        <v>0</v>
      </c>
      <c r="BE582" s="158">
        <v>0</v>
      </c>
      <c r="BF582" s="160">
        <v>0</v>
      </c>
      <c r="BG582" s="383">
        <v>2023</v>
      </c>
      <c r="BH582" s="383">
        <v>1</v>
      </c>
      <c r="BI582" s="383">
        <v>19</v>
      </c>
      <c r="BJ582" s="152"/>
      <c r="BK582" s="147" t="str">
        <f>IF(R582=SUM(Z582,AH582,AP582,AX582,BF582),"○","×")</f>
        <v>○</v>
      </c>
    </row>
    <row r="583" spans="1:63" s="152" customFormat="1" x14ac:dyDescent="0.2">
      <c r="A583" s="428">
        <v>1792</v>
      </c>
      <c r="B583" s="429"/>
      <c r="C583" s="430"/>
      <c r="D583" s="429"/>
      <c r="E583" s="430"/>
      <c r="F583" s="429"/>
      <c r="G583" s="429"/>
      <c r="H583" s="430"/>
      <c r="I583" s="429"/>
      <c r="J583" s="429"/>
      <c r="K583" s="429"/>
      <c r="L583" s="383"/>
      <c r="M583" s="383" t="s">
        <v>935</v>
      </c>
      <c r="N583" s="383" t="s">
        <v>384</v>
      </c>
      <c r="O583" s="383" t="s">
        <v>936</v>
      </c>
      <c r="P583" s="383" t="s">
        <v>970</v>
      </c>
      <c r="Q583" s="383"/>
      <c r="R583" s="431">
        <v>108000</v>
      </c>
      <c r="S583" s="158">
        <v>0</v>
      </c>
      <c r="T583" s="158">
        <v>0</v>
      </c>
      <c r="U583" s="158">
        <v>0</v>
      </c>
      <c r="V583" s="158">
        <v>0</v>
      </c>
      <c r="W583" s="158">
        <v>0</v>
      </c>
      <c r="X583" s="158">
        <v>0</v>
      </c>
      <c r="Y583" s="158">
        <v>0</v>
      </c>
      <c r="Z583" s="158">
        <v>0</v>
      </c>
      <c r="AA583" s="432">
        <v>0</v>
      </c>
      <c r="AB583" s="432">
        <v>0</v>
      </c>
      <c r="AC583" s="432">
        <v>0</v>
      </c>
      <c r="AD583" s="432">
        <v>0</v>
      </c>
      <c r="AE583" s="432">
        <v>0</v>
      </c>
      <c r="AF583" s="432">
        <v>0</v>
      </c>
      <c r="AG583" s="432">
        <v>0</v>
      </c>
      <c r="AH583" s="432">
        <v>0</v>
      </c>
      <c r="AI583" s="158">
        <v>108355</v>
      </c>
      <c r="AJ583" s="158">
        <v>0</v>
      </c>
      <c r="AK583" s="158">
        <v>108355</v>
      </c>
      <c r="AL583" s="158">
        <v>108355</v>
      </c>
      <c r="AM583" s="158">
        <v>7257600</v>
      </c>
      <c r="AN583" s="158">
        <v>108355</v>
      </c>
      <c r="AO583" s="158">
        <v>108355</v>
      </c>
      <c r="AP583" s="158">
        <v>108000</v>
      </c>
      <c r="AQ583" s="432">
        <v>0</v>
      </c>
      <c r="AR583" s="432">
        <v>0</v>
      </c>
      <c r="AS583" s="432">
        <v>0</v>
      </c>
      <c r="AT583" s="432">
        <v>0</v>
      </c>
      <c r="AU583" s="432">
        <v>0</v>
      </c>
      <c r="AV583" s="432">
        <v>0</v>
      </c>
      <c r="AW583" s="432">
        <v>0</v>
      </c>
      <c r="AX583" s="432">
        <v>0</v>
      </c>
      <c r="AY583" s="158">
        <v>0</v>
      </c>
      <c r="AZ583" s="158">
        <v>0</v>
      </c>
      <c r="BA583" s="158">
        <v>0</v>
      </c>
      <c r="BB583" s="158">
        <v>0</v>
      </c>
      <c r="BC583" s="158">
        <v>0</v>
      </c>
      <c r="BD583" s="158">
        <v>0</v>
      </c>
      <c r="BE583" s="158">
        <v>0</v>
      </c>
      <c r="BF583" s="160">
        <v>0</v>
      </c>
      <c r="BG583" s="383">
        <v>2023</v>
      </c>
      <c r="BH583" s="383">
        <v>1</v>
      </c>
      <c r="BI583" s="383">
        <v>19</v>
      </c>
      <c r="BJ583" s="148"/>
      <c r="BK583" s="147" t="str">
        <f>IF(R583=SUM(Z583,AH583,AP583,AX583,BF583),"○","×")</f>
        <v>○</v>
      </c>
    </row>
    <row r="584" spans="1:63" x14ac:dyDescent="0.2">
      <c r="A584" s="428">
        <v>1794</v>
      </c>
      <c r="B584" s="429"/>
      <c r="C584" s="430"/>
      <c r="D584" s="429"/>
      <c r="E584" s="430"/>
      <c r="F584" s="429"/>
      <c r="G584" s="429"/>
      <c r="H584" s="430"/>
      <c r="I584" s="429"/>
      <c r="J584" s="429"/>
      <c r="K584" s="429"/>
      <c r="L584" s="383"/>
      <c r="M584" s="383" t="s">
        <v>937</v>
      </c>
      <c r="N584" s="383" t="s">
        <v>340</v>
      </c>
      <c r="O584" s="383" t="s">
        <v>615</v>
      </c>
      <c r="P584" s="383" t="s">
        <v>970</v>
      </c>
      <c r="Q584" s="383"/>
      <c r="R584" s="431">
        <v>126000</v>
      </c>
      <c r="S584" s="158">
        <v>0</v>
      </c>
      <c r="T584" s="158">
        <v>0</v>
      </c>
      <c r="U584" s="158">
        <v>0</v>
      </c>
      <c r="V584" s="158">
        <v>0</v>
      </c>
      <c r="W584" s="158">
        <v>0</v>
      </c>
      <c r="X584" s="158">
        <v>0</v>
      </c>
      <c r="Y584" s="158">
        <v>0</v>
      </c>
      <c r="Z584" s="158">
        <v>0</v>
      </c>
      <c r="AA584" s="432">
        <v>0</v>
      </c>
      <c r="AB584" s="432">
        <v>0</v>
      </c>
      <c r="AC584" s="432">
        <v>0</v>
      </c>
      <c r="AD584" s="432">
        <v>0</v>
      </c>
      <c r="AE584" s="432">
        <v>0</v>
      </c>
      <c r="AF584" s="432">
        <v>0</v>
      </c>
      <c r="AG584" s="432">
        <v>0</v>
      </c>
      <c r="AH584" s="432">
        <v>0</v>
      </c>
      <c r="AI584" s="158">
        <v>126800</v>
      </c>
      <c r="AJ584" s="158">
        <v>0</v>
      </c>
      <c r="AK584" s="158">
        <v>126800</v>
      </c>
      <c r="AL584" s="158">
        <v>126800</v>
      </c>
      <c r="AM584" s="158">
        <v>907200</v>
      </c>
      <c r="AN584" s="158">
        <v>126800</v>
      </c>
      <c r="AO584" s="158">
        <v>126800</v>
      </c>
      <c r="AP584" s="158">
        <v>126000</v>
      </c>
      <c r="AQ584" s="432">
        <v>0</v>
      </c>
      <c r="AR584" s="432">
        <v>0</v>
      </c>
      <c r="AS584" s="432">
        <v>0</v>
      </c>
      <c r="AT584" s="432">
        <v>0</v>
      </c>
      <c r="AU584" s="432">
        <v>0</v>
      </c>
      <c r="AV584" s="432">
        <v>0</v>
      </c>
      <c r="AW584" s="432">
        <v>0</v>
      </c>
      <c r="AX584" s="432">
        <v>0</v>
      </c>
      <c r="AY584" s="158">
        <v>0</v>
      </c>
      <c r="AZ584" s="158">
        <v>0</v>
      </c>
      <c r="BA584" s="158">
        <v>0</v>
      </c>
      <c r="BB584" s="158">
        <v>0</v>
      </c>
      <c r="BC584" s="158">
        <v>0</v>
      </c>
      <c r="BD584" s="158">
        <v>0</v>
      </c>
      <c r="BE584" s="158">
        <v>0</v>
      </c>
      <c r="BF584" s="160">
        <v>0</v>
      </c>
      <c r="BG584" s="383">
        <v>2023</v>
      </c>
      <c r="BH584" s="383">
        <v>1</v>
      </c>
      <c r="BI584" s="383">
        <v>19</v>
      </c>
      <c r="BK584" s="147" t="str">
        <f>IF(R584=SUM(Z584,AH584,AP584,AX584,BF584),"○","×")</f>
        <v>○</v>
      </c>
    </row>
    <row r="585" spans="1:63" x14ac:dyDescent="0.2">
      <c r="A585" s="428">
        <v>1795</v>
      </c>
      <c r="B585" s="429"/>
      <c r="C585" s="430"/>
      <c r="D585" s="429"/>
      <c r="E585" s="430"/>
      <c r="F585" s="429"/>
      <c r="G585" s="429"/>
      <c r="H585" s="430"/>
      <c r="I585" s="429"/>
      <c r="J585" s="429"/>
      <c r="K585" s="429"/>
      <c r="L585" s="383"/>
      <c r="M585" s="383" t="s">
        <v>938</v>
      </c>
      <c r="N585" s="383" t="s">
        <v>326</v>
      </c>
      <c r="O585" s="383" t="s">
        <v>559</v>
      </c>
      <c r="P585" s="383" t="s">
        <v>970</v>
      </c>
      <c r="Q585" s="383"/>
      <c r="R585" s="431">
        <v>274000</v>
      </c>
      <c r="S585" s="158">
        <v>0</v>
      </c>
      <c r="T585" s="158">
        <v>0</v>
      </c>
      <c r="U585" s="158">
        <v>0</v>
      </c>
      <c r="V585" s="158">
        <v>0</v>
      </c>
      <c r="W585" s="158">
        <v>0</v>
      </c>
      <c r="X585" s="158">
        <v>0</v>
      </c>
      <c r="Y585" s="158">
        <v>0</v>
      </c>
      <c r="Z585" s="158">
        <v>0</v>
      </c>
      <c r="AA585" s="432">
        <v>0</v>
      </c>
      <c r="AB585" s="432">
        <v>0</v>
      </c>
      <c r="AC585" s="432">
        <v>0</v>
      </c>
      <c r="AD585" s="432">
        <v>0</v>
      </c>
      <c r="AE585" s="432">
        <v>0</v>
      </c>
      <c r="AF585" s="432">
        <v>0</v>
      </c>
      <c r="AG585" s="432">
        <v>0</v>
      </c>
      <c r="AH585" s="432">
        <v>0</v>
      </c>
      <c r="AI585" s="158">
        <v>274890</v>
      </c>
      <c r="AJ585" s="158">
        <v>0</v>
      </c>
      <c r="AK585" s="158">
        <v>274890</v>
      </c>
      <c r="AL585" s="158">
        <v>274890</v>
      </c>
      <c r="AM585" s="158">
        <v>3456000</v>
      </c>
      <c r="AN585" s="158">
        <v>274890</v>
      </c>
      <c r="AO585" s="158">
        <v>274890</v>
      </c>
      <c r="AP585" s="158">
        <v>274000</v>
      </c>
      <c r="AQ585" s="432">
        <v>0</v>
      </c>
      <c r="AR585" s="432">
        <v>0</v>
      </c>
      <c r="AS585" s="432">
        <v>0</v>
      </c>
      <c r="AT585" s="432">
        <v>0</v>
      </c>
      <c r="AU585" s="432">
        <v>0</v>
      </c>
      <c r="AV585" s="432">
        <v>0</v>
      </c>
      <c r="AW585" s="432">
        <v>0</v>
      </c>
      <c r="AX585" s="432">
        <v>0</v>
      </c>
      <c r="AY585" s="158">
        <v>0</v>
      </c>
      <c r="AZ585" s="158">
        <v>0</v>
      </c>
      <c r="BA585" s="158">
        <v>0</v>
      </c>
      <c r="BB585" s="158">
        <v>0</v>
      </c>
      <c r="BC585" s="158">
        <v>0</v>
      </c>
      <c r="BD585" s="158">
        <v>0</v>
      </c>
      <c r="BE585" s="158">
        <v>0</v>
      </c>
      <c r="BF585" s="160">
        <v>0</v>
      </c>
      <c r="BG585" s="383">
        <v>2023</v>
      </c>
      <c r="BH585" s="383">
        <v>1</v>
      </c>
      <c r="BI585" s="383">
        <v>19</v>
      </c>
      <c r="BK585" s="147" t="str">
        <f>IF(R585=SUM(Z585,AH585,AP585,AX585,BF585),"○","×")</f>
        <v>○</v>
      </c>
    </row>
    <row r="586" spans="1:63" x14ac:dyDescent="0.2">
      <c r="A586" s="428">
        <v>1796</v>
      </c>
      <c r="B586" s="429"/>
      <c r="C586" s="430"/>
      <c r="D586" s="429"/>
      <c r="E586" s="430"/>
      <c r="F586" s="429"/>
      <c r="G586" s="429"/>
      <c r="H586" s="430"/>
      <c r="I586" s="429"/>
      <c r="J586" s="429"/>
      <c r="K586" s="429"/>
      <c r="L586" s="383"/>
      <c r="M586" s="383" t="s">
        <v>908</v>
      </c>
      <c r="N586" s="383" t="s">
        <v>340</v>
      </c>
      <c r="O586" s="383" t="s">
        <v>909</v>
      </c>
      <c r="P586" s="383" t="s">
        <v>970</v>
      </c>
      <c r="Q586" s="383"/>
      <c r="R586" s="431">
        <v>83000</v>
      </c>
      <c r="S586" s="158">
        <v>0</v>
      </c>
      <c r="T586" s="158">
        <v>0</v>
      </c>
      <c r="U586" s="158">
        <v>0</v>
      </c>
      <c r="V586" s="158">
        <v>0</v>
      </c>
      <c r="W586" s="158">
        <v>0</v>
      </c>
      <c r="X586" s="158">
        <v>0</v>
      </c>
      <c r="Y586" s="158">
        <v>0</v>
      </c>
      <c r="Z586" s="158">
        <v>0</v>
      </c>
      <c r="AA586" s="432">
        <v>0</v>
      </c>
      <c r="AB586" s="432">
        <v>0</v>
      </c>
      <c r="AC586" s="432">
        <v>0</v>
      </c>
      <c r="AD586" s="432">
        <v>0</v>
      </c>
      <c r="AE586" s="432">
        <v>0</v>
      </c>
      <c r="AF586" s="432">
        <v>0</v>
      </c>
      <c r="AG586" s="432">
        <v>0</v>
      </c>
      <c r="AH586" s="432">
        <v>0</v>
      </c>
      <c r="AI586" s="158">
        <v>83519</v>
      </c>
      <c r="AJ586" s="158">
        <v>0</v>
      </c>
      <c r="AK586" s="158">
        <v>83519</v>
      </c>
      <c r="AL586" s="158">
        <v>83519</v>
      </c>
      <c r="AM586" s="158">
        <v>1152000</v>
      </c>
      <c r="AN586" s="158">
        <v>83519</v>
      </c>
      <c r="AO586" s="158">
        <v>83519</v>
      </c>
      <c r="AP586" s="158">
        <v>83000</v>
      </c>
      <c r="AQ586" s="432">
        <v>0</v>
      </c>
      <c r="AR586" s="432">
        <v>0</v>
      </c>
      <c r="AS586" s="432">
        <v>0</v>
      </c>
      <c r="AT586" s="432">
        <v>0</v>
      </c>
      <c r="AU586" s="432">
        <v>0</v>
      </c>
      <c r="AV586" s="432">
        <v>0</v>
      </c>
      <c r="AW586" s="432">
        <v>0</v>
      </c>
      <c r="AX586" s="432">
        <v>0</v>
      </c>
      <c r="AY586" s="158">
        <v>0</v>
      </c>
      <c r="AZ586" s="158">
        <v>0</v>
      </c>
      <c r="BA586" s="158">
        <v>0</v>
      </c>
      <c r="BB586" s="158">
        <v>0</v>
      </c>
      <c r="BC586" s="158">
        <v>0</v>
      </c>
      <c r="BD586" s="158">
        <v>0</v>
      </c>
      <c r="BE586" s="158">
        <v>0</v>
      </c>
      <c r="BF586" s="160">
        <v>0</v>
      </c>
      <c r="BG586" s="383">
        <v>2023</v>
      </c>
      <c r="BH586" s="383">
        <v>1</v>
      </c>
      <c r="BI586" s="383">
        <v>19</v>
      </c>
      <c r="BK586" s="147" t="str">
        <f>IF(R586=SUM(Z586,AH586,AP586,AX586,BF586),"○","×")</f>
        <v>○</v>
      </c>
    </row>
    <row r="587" spans="1:63" x14ac:dyDescent="0.2">
      <c r="A587" s="428">
        <v>1797</v>
      </c>
      <c r="B587" s="429"/>
      <c r="C587" s="430"/>
      <c r="D587" s="429"/>
      <c r="E587" s="430"/>
      <c r="F587" s="429"/>
      <c r="G587" s="429"/>
      <c r="H587" s="430"/>
      <c r="I587" s="429"/>
      <c r="J587" s="429"/>
      <c r="K587" s="429"/>
      <c r="L587" s="383"/>
      <c r="M587" s="383" t="s">
        <v>626</v>
      </c>
      <c r="N587" s="383" t="s">
        <v>323</v>
      </c>
      <c r="O587" s="383" t="s">
        <v>351</v>
      </c>
      <c r="P587" s="383" t="s">
        <v>970</v>
      </c>
      <c r="Q587" s="383"/>
      <c r="R587" s="431">
        <v>189000</v>
      </c>
      <c r="S587" s="158">
        <v>0</v>
      </c>
      <c r="T587" s="158">
        <v>0</v>
      </c>
      <c r="U587" s="158">
        <v>0</v>
      </c>
      <c r="V587" s="158">
        <v>0</v>
      </c>
      <c r="W587" s="158">
        <v>0</v>
      </c>
      <c r="X587" s="158">
        <v>0</v>
      </c>
      <c r="Y587" s="158">
        <v>0</v>
      </c>
      <c r="Z587" s="158">
        <v>0</v>
      </c>
      <c r="AA587" s="432">
        <v>0</v>
      </c>
      <c r="AB587" s="432">
        <v>0</v>
      </c>
      <c r="AC587" s="432">
        <v>0</v>
      </c>
      <c r="AD587" s="432">
        <v>0</v>
      </c>
      <c r="AE587" s="432">
        <v>0</v>
      </c>
      <c r="AF587" s="432">
        <v>0</v>
      </c>
      <c r="AG587" s="432">
        <v>0</v>
      </c>
      <c r="AH587" s="432">
        <v>0</v>
      </c>
      <c r="AI587" s="158">
        <v>189962</v>
      </c>
      <c r="AJ587" s="158">
        <v>0</v>
      </c>
      <c r="AK587" s="158">
        <v>189962</v>
      </c>
      <c r="AL587" s="158">
        <v>189962</v>
      </c>
      <c r="AM587" s="158">
        <v>1544400</v>
      </c>
      <c r="AN587" s="158">
        <v>189962</v>
      </c>
      <c r="AO587" s="158">
        <v>189962</v>
      </c>
      <c r="AP587" s="158">
        <v>189000</v>
      </c>
      <c r="AQ587" s="432">
        <v>0</v>
      </c>
      <c r="AR587" s="432">
        <v>0</v>
      </c>
      <c r="AS587" s="432">
        <v>0</v>
      </c>
      <c r="AT587" s="432">
        <v>0</v>
      </c>
      <c r="AU587" s="432">
        <v>0</v>
      </c>
      <c r="AV587" s="432">
        <v>0</v>
      </c>
      <c r="AW587" s="432">
        <v>0</v>
      </c>
      <c r="AX587" s="432">
        <v>0</v>
      </c>
      <c r="AY587" s="158">
        <v>0</v>
      </c>
      <c r="AZ587" s="158">
        <v>0</v>
      </c>
      <c r="BA587" s="158">
        <v>0</v>
      </c>
      <c r="BB587" s="158">
        <v>0</v>
      </c>
      <c r="BC587" s="158">
        <v>0</v>
      </c>
      <c r="BD587" s="158">
        <v>0</v>
      </c>
      <c r="BE587" s="158">
        <v>0</v>
      </c>
      <c r="BF587" s="160">
        <v>0</v>
      </c>
      <c r="BG587" s="383">
        <v>2023</v>
      </c>
      <c r="BH587" s="383">
        <v>1</v>
      </c>
      <c r="BI587" s="383">
        <v>19</v>
      </c>
      <c r="BJ587" s="152"/>
      <c r="BK587" s="147" t="str">
        <f>IF(R587=SUM(Z587,AH587,AP587,AX587,BF587),"○","×")</f>
        <v>○</v>
      </c>
    </row>
    <row r="588" spans="1:63" x14ac:dyDescent="0.2">
      <c r="A588" s="428">
        <v>1798</v>
      </c>
      <c r="B588" s="429"/>
      <c r="C588" s="430"/>
      <c r="D588" s="429"/>
      <c r="E588" s="430"/>
      <c r="F588" s="429"/>
      <c r="G588" s="429"/>
      <c r="H588" s="430"/>
      <c r="I588" s="429"/>
      <c r="J588" s="429"/>
      <c r="K588" s="429"/>
      <c r="L588" s="383"/>
      <c r="M588" s="383" t="s">
        <v>939</v>
      </c>
      <c r="N588" s="383" t="s">
        <v>377</v>
      </c>
      <c r="O588" s="383" t="s">
        <v>324</v>
      </c>
      <c r="P588" s="383" t="s">
        <v>970</v>
      </c>
      <c r="Q588" s="383"/>
      <c r="R588" s="431">
        <v>455000</v>
      </c>
      <c r="S588" s="158">
        <v>0</v>
      </c>
      <c r="T588" s="158">
        <v>0</v>
      </c>
      <c r="U588" s="158">
        <v>0</v>
      </c>
      <c r="V588" s="158">
        <v>0</v>
      </c>
      <c r="W588" s="158">
        <v>0</v>
      </c>
      <c r="X588" s="158">
        <v>0</v>
      </c>
      <c r="Y588" s="158">
        <v>0</v>
      </c>
      <c r="Z588" s="158">
        <v>0</v>
      </c>
      <c r="AA588" s="432">
        <v>0</v>
      </c>
      <c r="AB588" s="432">
        <v>0</v>
      </c>
      <c r="AC588" s="432">
        <v>0</v>
      </c>
      <c r="AD588" s="432">
        <v>0</v>
      </c>
      <c r="AE588" s="432">
        <v>0</v>
      </c>
      <c r="AF588" s="432">
        <v>0</v>
      </c>
      <c r="AG588" s="432">
        <v>0</v>
      </c>
      <c r="AH588" s="432">
        <v>0</v>
      </c>
      <c r="AI588" s="158">
        <v>455350</v>
      </c>
      <c r="AJ588" s="158">
        <v>0</v>
      </c>
      <c r="AK588" s="158">
        <v>455350</v>
      </c>
      <c r="AL588" s="158">
        <v>455350</v>
      </c>
      <c r="AM588" s="158">
        <v>2088000</v>
      </c>
      <c r="AN588" s="158">
        <v>455350</v>
      </c>
      <c r="AO588" s="158">
        <v>455350</v>
      </c>
      <c r="AP588" s="158">
        <v>455000</v>
      </c>
      <c r="AQ588" s="432">
        <v>0</v>
      </c>
      <c r="AR588" s="432">
        <v>0</v>
      </c>
      <c r="AS588" s="432">
        <v>0</v>
      </c>
      <c r="AT588" s="432">
        <v>0</v>
      </c>
      <c r="AU588" s="432">
        <v>0</v>
      </c>
      <c r="AV588" s="432">
        <v>0</v>
      </c>
      <c r="AW588" s="432">
        <v>0</v>
      </c>
      <c r="AX588" s="432">
        <v>0</v>
      </c>
      <c r="AY588" s="158">
        <v>0</v>
      </c>
      <c r="AZ588" s="158">
        <v>0</v>
      </c>
      <c r="BA588" s="158">
        <v>0</v>
      </c>
      <c r="BB588" s="158">
        <v>0</v>
      </c>
      <c r="BC588" s="158">
        <v>0</v>
      </c>
      <c r="BD588" s="158">
        <v>0</v>
      </c>
      <c r="BE588" s="158">
        <v>0</v>
      </c>
      <c r="BF588" s="160">
        <v>0</v>
      </c>
      <c r="BG588" s="383">
        <v>2023</v>
      </c>
      <c r="BH588" s="383">
        <v>1</v>
      </c>
      <c r="BI588" s="383">
        <v>19</v>
      </c>
      <c r="BK588" s="147" t="str">
        <f>IF(R588=SUM(Z588,AH588,AP588,AX588,BF588),"○","×")</f>
        <v>○</v>
      </c>
    </row>
    <row r="589" spans="1:63" x14ac:dyDescent="0.2">
      <c r="A589" s="428">
        <v>1799</v>
      </c>
      <c r="B589" s="429"/>
      <c r="C589" s="430"/>
      <c r="D589" s="429"/>
      <c r="E589" s="430"/>
      <c r="F589" s="429"/>
      <c r="G589" s="429"/>
      <c r="H589" s="430"/>
      <c r="I589" s="429"/>
      <c r="J589" s="429"/>
      <c r="K589" s="429"/>
      <c r="L589" s="383"/>
      <c r="M589" s="383" t="s">
        <v>569</v>
      </c>
      <c r="N589" s="383" t="s">
        <v>340</v>
      </c>
      <c r="O589" s="383" t="s">
        <v>333</v>
      </c>
      <c r="P589" s="383" t="s">
        <v>970</v>
      </c>
      <c r="Q589" s="383"/>
      <c r="R589" s="431">
        <v>390000</v>
      </c>
      <c r="S589" s="158">
        <v>0</v>
      </c>
      <c r="T589" s="158">
        <v>0</v>
      </c>
      <c r="U589" s="158">
        <v>0</v>
      </c>
      <c r="V589" s="158">
        <v>0</v>
      </c>
      <c r="W589" s="158">
        <v>0</v>
      </c>
      <c r="X589" s="158">
        <v>0</v>
      </c>
      <c r="Y589" s="158">
        <v>0</v>
      </c>
      <c r="Z589" s="158">
        <v>0</v>
      </c>
      <c r="AA589" s="432">
        <v>0</v>
      </c>
      <c r="AB589" s="432">
        <v>0</v>
      </c>
      <c r="AC589" s="432">
        <v>0</v>
      </c>
      <c r="AD589" s="432">
        <v>0</v>
      </c>
      <c r="AE589" s="432">
        <v>0</v>
      </c>
      <c r="AF589" s="432">
        <v>0</v>
      </c>
      <c r="AG589" s="432">
        <v>0</v>
      </c>
      <c r="AH589" s="432">
        <v>0</v>
      </c>
      <c r="AI589" s="158">
        <v>390036</v>
      </c>
      <c r="AJ589" s="158">
        <v>0</v>
      </c>
      <c r="AK589" s="158">
        <v>390036</v>
      </c>
      <c r="AL589" s="158">
        <v>390036</v>
      </c>
      <c r="AM589" s="158">
        <v>3553200</v>
      </c>
      <c r="AN589" s="158">
        <v>390036</v>
      </c>
      <c r="AO589" s="158">
        <v>390036</v>
      </c>
      <c r="AP589" s="158">
        <v>390000</v>
      </c>
      <c r="AQ589" s="432">
        <v>0</v>
      </c>
      <c r="AR589" s="432">
        <v>0</v>
      </c>
      <c r="AS589" s="432">
        <v>0</v>
      </c>
      <c r="AT589" s="432">
        <v>0</v>
      </c>
      <c r="AU589" s="432">
        <v>0</v>
      </c>
      <c r="AV589" s="432">
        <v>0</v>
      </c>
      <c r="AW589" s="432">
        <v>0</v>
      </c>
      <c r="AX589" s="432">
        <v>0</v>
      </c>
      <c r="AY589" s="158">
        <v>0</v>
      </c>
      <c r="AZ589" s="158">
        <v>0</v>
      </c>
      <c r="BA589" s="158">
        <v>0</v>
      </c>
      <c r="BB589" s="158">
        <v>0</v>
      </c>
      <c r="BC589" s="158">
        <v>0</v>
      </c>
      <c r="BD589" s="158">
        <v>0</v>
      </c>
      <c r="BE589" s="158">
        <v>0</v>
      </c>
      <c r="BF589" s="160">
        <v>0</v>
      </c>
      <c r="BG589" s="383">
        <v>2023</v>
      </c>
      <c r="BH589" s="383">
        <v>1</v>
      </c>
      <c r="BI589" s="383">
        <v>19</v>
      </c>
      <c r="BK589" s="147" t="str">
        <f>IF(R589=SUM(Z589,AH589,AP589,AX589,BF589),"○","×")</f>
        <v>○</v>
      </c>
    </row>
    <row r="590" spans="1:63" x14ac:dyDescent="0.2">
      <c r="A590" s="428">
        <v>1800</v>
      </c>
      <c r="B590" s="429"/>
      <c r="C590" s="430"/>
      <c r="D590" s="429"/>
      <c r="E590" s="430"/>
      <c r="F590" s="429"/>
      <c r="G590" s="429"/>
      <c r="H590" s="430"/>
      <c r="I590" s="429"/>
      <c r="J590" s="429"/>
      <c r="K590" s="429"/>
      <c r="L590" s="383"/>
      <c r="M590" s="383" t="s">
        <v>785</v>
      </c>
      <c r="N590" s="383" t="s">
        <v>323</v>
      </c>
      <c r="O590" s="383" t="s">
        <v>786</v>
      </c>
      <c r="P590" s="383" t="s">
        <v>970</v>
      </c>
      <c r="Q590" s="383"/>
      <c r="R590" s="431">
        <v>127000</v>
      </c>
      <c r="S590" s="158">
        <v>0</v>
      </c>
      <c r="T590" s="158">
        <v>0</v>
      </c>
      <c r="U590" s="158">
        <v>0</v>
      </c>
      <c r="V590" s="158">
        <v>0</v>
      </c>
      <c r="W590" s="158">
        <v>0</v>
      </c>
      <c r="X590" s="158">
        <v>0</v>
      </c>
      <c r="Y590" s="158">
        <v>0</v>
      </c>
      <c r="Z590" s="158">
        <v>0</v>
      </c>
      <c r="AA590" s="432">
        <v>0</v>
      </c>
      <c r="AB590" s="432">
        <v>0</v>
      </c>
      <c r="AC590" s="432">
        <v>0</v>
      </c>
      <c r="AD590" s="432">
        <v>0</v>
      </c>
      <c r="AE590" s="432">
        <v>0</v>
      </c>
      <c r="AF590" s="432">
        <v>0</v>
      </c>
      <c r="AG590" s="432">
        <v>0</v>
      </c>
      <c r="AH590" s="432">
        <v>0</v>
      </c>
      <c r="AI590" s="158">
        <v>127875</v>
      </c>
      <c r="AJ590" s="158">
        <v>0</v>
      </c>
      <c r="AK590" s="158">
        <v>127875</v>
      </c>
      <c r="AL590" s="158">
        <v>127875</v>
      </c>
      <c r="AM590" s="158">
        <v>2102400</v>
      </c>
      <c r="AN590" s="158">
        <v>127875</v>
      </c>
      <c r="AO590" s="158">
        <v>127875</v>
      </c>
      <c r="AP590" s="158">
        <v>127000</v>
      </c>
      <c r="AQ590" s="432">
        <v>0</v>
      </c>
      <c r="AR590" s="432">
        <v>0</v>
      </c>
      <c r="AS590" s="432">
        <v>0</v>
      </c>
      <c r="AT590" s="432">
        <v>0</v>
      </c>
      <c r="AU590" s="432">
        <v>0</v>
      </c>
      <c r="AV590" s="432">
        <v>0</v>
      </c>
      <c r="AW590" s="432">
        <v>0</v>
      </c>
      <c r="AX590" s="432">
        <v>0</v>
      </c>
      <c r="AY590" s="158">
        <v>0</v>
      </c>
      <c r="AZ590" s="158">
        <v>0</v>
      </c>
      <c r="BA590" s="158">
        <v>0</v>
      </c>
      <c r="BB590" s="158">
        <v>0</v>
      </c>
      <c r="BC590" s="158">
        <v>0</v>
      </c>
      <c r="BD590" s="158">
        <v>0</v>
      </c>
      <c r="BE590" s="158">
        <v>0</v>
      </c>
      <c r="BF590" s="160">
        <v>0</v>
      </c>
      <c r="BG590" s="383">
        <v>2023</v>
      </c>
      <c r="BH590" s="383">
        <v>1</v>
      </c>
      <c r="BI590" s="383">
        <v>19</v>
      </c>
      <c r="BK590" s="147" t="str">
        <f>IF(R590=SUM(Z590,AH590,AP590,AX590,BF590),"○","×")</f>
        <v>○</v>
      </c>
    </row>
    <row r="591" spans="1:63" x14ac:dyDescent="0.2">
      <c r="A591" s="428">
        <v>1801</v>
      </c>
      <c r="B591" s="429"/>
      <c r="C591" s="430"/>
      <c r="D591" s="429"/>
      <c r="E591" s="430"/>
      <c r="F591" s="429"/>
      <c r="G591" s="429"/>
      <c r="H591" s="430"/>
      <c r="I591" s="429"/>
      <c r="J591" s="429"/>
      <c r="K591" s="429"/>
      <c r="L591" s="383"/>
      <c r="M591" s="383" t="s">
        <v>475</v>
      </c>
      <c r="N591" s="383" t="s">
        <v>367</v>
      </c>
      <c r="O591" s="383" t="s">
        <v>476</v>
      </c>
      <c r="P591" s="383" t="s">
        <v>970</v>
      </c>
      <c r="Q591" s="383"/>
      <c r="R591" s="431">
        <v>654000</v>
      </c>
      <c r="S591" s="158">
        <v>0</v>
      </c>
      <c r="T591" s="158">
        <v>0</v>
      </c>
      <c r="U591" s="158">
        <v>0</v>
      </c>
      <c r="V591" s="158">
        <v>0</v>
      </c>
      <c r="W591" s="158">
        <v>0</v>
      </c>
      <c r="X591" s="158">
        <v>0</v>
      </c>
      <c r="Y591" s="158">
        <v>0</v>
      </c>
      <c r="Z591" s="158">
        <v>0</v>
      </c>
      <c r="AA591" s="432">
        <v>0</v>
      </c>
      <c r="AB591" s="432">
        <v>0</v>
      </c>
      <c r="AC591" s="432">
        <v>0</v>
      </c>
      <c r="AD591" s="432">
        <v>0</v>
      </c>
      <c r="AE591" s="432">
        <v>0</v>
      </c>
      <c r="AF591" s="432">
        <v>0</v>
      </c>
      <c r="AG591" s="432">
        <v>0</v>
      </c>
      <c r="AH591" s="432">
        <v>0</v>
      </c>
      <c r="AI591" s="158">
        <v>654390</v>
      </c>
      <c r="AJ591" s="158">
        <v>0</v>
      </c>
      <c r="AK591" s="158">
        <v>654390</v>
      </c>
      <c r="AL591" s="158">
        <v>654390</v>
      </c>
      <c r="AM591" s="158">
        <v>1814400</v>
      </c>
      <c r="AN591" s="158">
        <v>654390</v>
      </c>
      <c r="AO591" s="158">
        <v>654390</v>
      </c>
      <c r="AP591" s="158">
        <v>654000</v>
      </c>
      <c r="AQ591" s="432">
        <v>0</v>
      </c>
      <c r="AR591" s="432">
        <v>0</v>
      </c>
      <c r="AS591" s="432">
        <v>0</v>
      </c>
      <c r="AT591" s="432">
        <v>0</v>
      </c>
      <c r="AU591" s="432">
        <v>0</v>
      </c>
      <c r="AV591" s="432">
        <v>0</v>
      </c>
      <c r="AW591" s="432">
        <v>0</v>
      </c>
      <c r="AX591" s="432">
        <v>0</v>
      </c>
      <c r="AY591" s="158">
        <v>0</v>
      </c>
      <c r="AZ591" s="158">
        <v>0</v>
      </c>
      <c r="BA591" s="158">
        <v>0</v>
      </c>
      <c r="BB591" s="158">
        <v>0</v>
      </c>
      <c r="BC591" s="158">
        <v>0</v>
      </c>
      <c r="BD591" s="158">
        <v>0</v>
      </c>
      <c r="BE591" s="158">
        <v>0</v>
      </c>
      <c r="BF591" s="160">
        <v>0</v>
      </c>
      <c r="BG591" s="383">
        <v>2023</v>
      </c>
      <c r="BH591" s="383">
        <v>1</v>
      </c>
      <c r="BI591" s="383">
        <v>19</v>
      </c>
      <c r="BK591" s="147" t="str">
        <f>IF(R591=SUM(Z591,AH591,AP591,AX591,BF591),"○","×")</f>
        <v>○</v>
      </c>
    </row>
    <row r="592" spans="1:63" x14ac:dyDescent="0.2">
      <c r="A592" s="428">
        <v>1802</v>
      </c>
      <c r="B592" s="429"/>
      <c r="C592" s="430"/>
      <c r="D592" s="429"/>
      <c r="E592" s="430"/>
      <c r="F592" s="429"/>
      <c r="G592" s="429"/>
      <c r="H592" s="430"/>
      <c r="I592" s="429"/>
      <c r="J592" s="429"/>
      <c r="K592" s="429"/>
      <c r="L592" s="383"/>
      <c r="M592" s="383" t="s">
        <v>581</v>
      </c>
      <c r="N592" s="383" t="s">
        <v>323</v>
      </c>
      <c r="O592" s="383" t="s">
        <v>582</v>
      </c>
      <c r="P592" s="383" t="s">
        <v>970</v>
      </c>
      <c r="Q592" s="383"/>
      <c r="R592" s="431">
        <v>646000</v>
      </c>
      <c r="S592" s="158">
        <v>0</v>
      </c>
      <c r="T592" s="158">
        <v>0</v>
      </c>
      <c r="U592" s="158">
        <v>0</v>
      </c>
      <c r="V592" s="158">
        <v>0</v>
      </c>
      <c r="W592" s="158">
        <v>0</v>
      </c>
      <c r="X592" s="158">
        <v>0</v>
      </c>
      <c r="Y592" s="158">
        <v>0</v>
      </c>
      <c r="Z592" s="158">
        <v>0</v>
      </c>
      <c r="AA592" s="432">
        <v>0</v>
      </c>
      <c r="AB592" s="432">
        <v>0</v>
      </c>
      <c r="AC592" s="432">
        <v>0</v>
      </c>
      <c r="AD592" s="432">
        <v>0</v>
      </c>
      <c r="AE592" s="432">
        <v>0</v>
      </c>
      <c r="AF592" s="432">
        <v>0</v>
      </c>
      <c r="AG592" s="432">
        <v>0</v>
      </c>
      <c r="AH592" s="432">
        <v>0</v>
      </c>
      <c r="AI592" s="158">
        <v>646360</v>
      </c>
      <c r="AJ592" s="158">
        <v>0</v>
      </c>
      <c r="AK592" s="158">
        <v>646360</v>
      </c>
      <c r="AL592" s="158">
        <v>646360</v>
      </c>
      <c r="AM592" s="158">
        <v>1328400</v>
      </c>
      <c r="AN592" s="158">
        <v>646360</v>
      </c>
      <c r="AO592" s="158">
        <v>646360</v>
      </c>
      <c r="AP592" s="158">
        <v>646000</v>
      </c>
      <c r="AQ592" s="432">
        <v>0</v>
      </c>
      <c r="AR592" s="432">
        <v>0</v>
      </c>
      <c r="AS592" s="432">
        <v>0</v>
      </c>
      <c r="AT592" s="432">
        <v>0</v>
      </c>
      <c r="AU592" s="432">
        <v>0</v>
      </c>
      <c r="AV592" s="432">
        <v>0</v>
      </c>
      <c r="AW592" s="432">
        <v>0</v>
      </c>
      <c r="AX592" s="432">
        <v>0</v>
      </c>
      <c r="AY592" s="158">
        <v>0</v>
      </c>
      <c r="AZ592" s="158">
        <v>0</v>
      </c>
      <c r="BA592" s="158">
        <v>0</v>
      </c>
      <c r="BB592" s="158">
        <v>0</v>
      </c>
      <c r="BC592" s="158">
        <v>0</v>
      </c>
      <c r="BD592" s="158">
        <v>0</v>
      </c>
      <c r="BE592" s="158">
        <v>0</v>
      </c>
      <c r="BF592" s="160">
        <v>0</v>
      </c>
      <c r="BG592" s="383">
        <v>2023</v>
      </c>
      <c r="BH592" s="383">
        <v>1</v>
      </c>
      <c r="BI592" s="383">
        <v>19</v>
      </c>
      <c r="BK592" s="147" t="str">
        <f>IF(R592=SUM(Z592,AH592,AP592,AX592,BF592),"○","×")</f>
        <v>○</v>
      </c>
    </row>
    <row r="593" spans="1:63" x14ac:dyDescent="0.2">
      <c r="A593" s="428">
        <v>1803</v>
      </c>
      <c r="B593" s="429"/>
      <c r="C593" s="430"/>
      <c r="D593" s="429"/>
      <c r="E593" s="430"/>
      <c r="F593" s="429"/>
      <c r="G593" s="429"/>
      <c r="H593" s="430"/>
      <c r="I593" s="429"/>
      <c r="J593" s="429"/>
      <c r="K593" s="429"/>
      <c r="L593" s="383"/>
      <c r="M593" s="383" t="s">
        <v>888</v>
      </c>
      <c r="N593" s="383" t="s">
        <v>340</v>
      </c>
      <c r="O593" s="383" t="s">
        <v>368</v>
      </c>
      <c r="P593" s="383" t="s">
        <v>970</v>
      </c>
      <c r="Q593" s="383"/>
      <c r="R593" s="431">
        <v>1230000</v>
      </c>
      <c r="S593" s="158">
        <v>0</v>
      </c>
      <c r="T593" s="158">
        <v>0</v>
      </c>
      <c r="U593" s="158">
        <v>0</v>
      </c>
      <c r="V593" s="158">
        <v>0</v>
      </c>
      <c r="W593" s="158">
        <v>0</v>
      </c>
      <c r="X593" s="158">
        <v>0</v>
      </c>
      <c r="Y593" s="158">
        <v>0</v>
      </c>
      <c r="Z593" s="158">
        <v>0</v>
      </c>
      <c r="AA593" s="432">
        <v>0</v>
      </c>
      <c r="AB593" s="432">
        <v>0</v>
      </c>
      <c r="AC593" s="432">
        <v>0</v>
      </c>
      <c r="AD593" s="432">
        <v>0</v>
      </c>
      <c r="AE593" s="432">
        <v>0</v>
      </c>
      <c r="AF593" s="432">
        <v>0</v>
      </c>
      <c r="AG593" s="432">
        <v>0</v>
      </c>
      <c r="AH593" s="432">
        <v>0</v>
      </c>
      <c r="AI593" s="158">
        <v>1230336</v>
      </c>
      <c r="AJ593" s="158">
        <v>0</v>
      </c>
      <c r="AK593" s="158">
        <v>1230336</v>
      </c>
      <c r="AL593" s="158">
        <v>1230336</v>
      </c>
      <c r="AM593" s="158">
        <v>2073600</v>
      </c>
      <c r="AN593" s="158">
        <v>1230336</v>
      </c>
      <c r="AO593" s="158">
        <v>1230336</v>
      </c>
      <c r="AP593" s="158">
        <v>1230000</v>
      </c>
      <c r="AQ593" s="432">
        <v>0</v>
      </c>
      <c r="AR593" s="432">
        <v>0</v>
      </c>
      <c r="AS593" s="432">
        <v>0</v>
      </c>
      <c r="AT593" s="432">
        <v>0</v>
      </c>
      <c r="AU593" s="432">
        <v>0</v>
      </c>
      <c r="AV593" s="432">
        <v>0</v>
      </c>
      <c r="AW593" s="432">
        <v>0</v>
      </c>
      <c r="AX593" s="432">
        <v>0</v>
      </c>
      <c r="AY593" s="158">
        <v>0</v>
      </c>
      <c r="AZ593" s="158">
        <v>0</v>
      </c>
      <c r="BA593" s="158">
        <v>0</v>
      </c>
      <c r="BB593" s="158">
        <v>0</v>
      </c>
      <c r="BC593" s="158">
        <v>0</v>
      </c>
      <c r="BD593" s="158">
        <v>0</v>
      </c>
      <c r="BE593" s="158">
        <v>0</v>
      </c>
      <c r="BF593" s="160">
        <v>0</v>
      </c>
      <c r="BG593" s="383">
        <v>2023</v>
      </c>
      <c r="BH593" s="383">
        <v>1</v>
      </c>
      <c r="BI593" s="383">
        <v>19</v>
      </c>
      <c r="BK593" s="147" t="str">
        <f>IF(R593=SUM(Z593,AH593,AP593,AX593,BF593),"○","×")</f>
        <v>○</v>
      </c>
    </row>
    <row r="594" spans="1:63" x14ac:dyDescent="0.2">
      <c r="A594" s="428">
        <v>1804</v>
      </c>
      <c r="B594" s="429"/>
      <c r="C594" s="430"/>
      <c r="D594" s="429"/>
      <c r="E594" s="430"/>
      <c r="F594" s="429"/>
      <c r="G594" s="429"/>
      <c r="H594" s="430"/>
      <c r="I594" s="429"/>
      <c r="J594" s="429"/>
      <c r="K594" s="429"/>
      <c r="L594" s="383"/>
      <c r="M594" s="383" t="s">
        <v>918</v>
      </c>
      <c r="N594" s="383" t="s">
        <v>335</v>
      </c>
      <c r="O594" s="383" t="s">
        <v>380</v>
      </c>
      <c r="P594" s="383" t="s">
        <v>970</v>
      </c>
      <c r="Q594" s="383"/>
      <c r="R594" s="431">
        <v>79000</v>
      </c>
      <c r="S594" s="158">
        <v>0</v>
      </c>
      <c r="T594" s="158">
        <v>0</v>
      </c>
      <c r="U594" s="158">
        <v>0</v>
      </c>
      <c r="V594" s="158">
        <v>0</v>
      </c>
      <c r="W594" s="158">
        <v>0</v>
      </c>
      <c r="X594" s="158">
        <v>0</v>
      </c>
      <c r="Y594" s="158">
        <v>0</v>
      </c>
      <c r="Z594" s="158">
        <v>0</v>
      </c>
      <c r="AA594" s="432">
        <v>0</v>
      </c>
      <c r="AB594" s="432">
        <v>0</v>
      </c>
      <c r="AC594" s="432">
        <v>0</v>
      </c>
      <c r="AD594" s="432">
        <v>0</v>
      </c>
      <c r="AE594" s="432">
        <v>0</v>
      </c>
      <c r="AF594" s="432">
        <v>0</v>
      </c>
      <c r="AG594" s="432">
        <v>0</v>
      </c>
      <c r="AH594" s="432">
        <v>0</v>
      </c>
      <c r="AI594" s="158">
        <v>79200</v>
      </c>
      <c r="AJ594" s="158">
        <v>0</v>
      </c>
      <c r="AK594" s="158">
        <v>79200</v>
      </c>
      <c r="AL594" s="158">
        <v>79200</v>
      </c>
      <c r="AM594" s="158">
        <v>3110400</v>
      </c>
      <c r="AN594" s="158">
        <v>79200</v>
      </c>
      <c r="AO594" s="158">
        <v>79200</v>
      </c>
      <c r="AP594" s="158">
        <v>79000</v>
      </c>
      <c r="AQ594" s="432">
        <v>0</v>
      </c>
      <c r="AR594" s="432">
        <v>0</v>
      </c>
      <c r="AS594" s="432">
        <v>0</v>
      </c>
      <c r="AT594" s="432">
        <v>0</v>
      </c>
      <c r="AU594" s="432">
        <v>0</v>
      </c>
      <c r="AV594" s="432">
        <v>0</v>
      </c>
      <c r="AW594" s="432">
        <v>0</v>
      </c>
      <c r="AX594" s="432">
        <v>0</v>
      </c>
      <c r="AY594" s="158">
        <v>0</v>
      </c>
      <c r="AZ594" s="158">
        <v>0</v>
      </c>
      <c r="BA594" s="158">
        <v>0</v>
      </c>
      <c r="BB594" s="158">
        <v>0</v>
      </c>
      <c r="BC594" s="158">
        <v>0</v>
      </c>
      <c r="BD594" s="158">
        <v>0</v>
      </c>
      <c r="BE594" s="158">
        <v>0</v>
      </c>
      <c r="BF594" s="160">
        <v>0</v>
      </c>
      <c r="BG594" s="383">
        <v>2023</v>
      </c>
      <c r="BH594" s="383">
        <v>1</v>
      </c>
      <c r="BI594" s="383">
        <v>19</v>
      </c>
      <c r="BK594" s="147" t="str">
        <f>IF(R594=SUM(Z594,AH594,AP594,AX594,BF594),"○","×")</f>
        <v>○</v>
      </c>
    </row>
    <row r="595" spans="1:63" x14ac:dyDescent="0.2">
      <c r="A595" s="428">
        <v>1805</v>
      </c>
      <c r="B595" s="429"/>
      <c r="C595" s="430"/>
      <c r="D595" s="429"/>
      <c r="E595" s="430"/>
      <c r="F595" s="429"/>
      <c r="G595" s="429"/>
      <c r="H595" s="430"/>
      <c r="I595" s="429"/>
      <c r="J595" s="429"/>
      <c r="K595" s="429"/>
      <c r="L595" s="383"/>
      <c r="M595" s="383" t="s">
        <v>940</v>
      </c>
      <c r="N595" s="383" t="s">
        <v>326</v>
      </c>
      <c r="O595" s="383" t="s">
        <v>941</v>
      </c>
      <c r="P595" s="383" t="s">
        <v>970</v>
      </c>
      <c r="Q595" s="383"/>
      <c r="R595" s="431">
        <v>665000</v>
      </c>
      <c r="S595" s="158">
        <v>0</v>
      </c>
      <c r="T595" s="158">
        <v>0</v>
      </c>
      <c r="U595" s="158">
        <v>0</v>
      </c>
      <c r="V595" s="158">
        <v>0</v>
      </c>
      <c r="W595" s="158">
        <v>0</v>
      </c>
      <c r="X595" s="158">
        <v>0</v>
      </c>
      <c r="Y595" s="158">
        <v>0</v>
      </c>
      <c r="Z595" s="158">
        <v>0</v>
      </c>
      <c r="AA595" s="432">
        <v>0</v>
      </c>
      <c r="AB595" s="432">
        <v>0</v>
      </c>
      <c r="AC595" s="432">
        <v>0</v>
      </c>
      <c r="AD595" s="432">
        <v>0</v>
      </c>
      <c r="AE595" s="432">
        <v>0</v>
      </c>
      <c r="AF595" s="432">
        <v>0</v>
      </c>
      <c r="AG595" s="432">
        <v>0</v>
      </c>
      <c r="AH595" s="432">
        <v>0</v>
      </c>
      <c r="AI595" s="158">
        <v>665380</v>
      </c>
      <c r="AJ595" s="158">
        <v>0</v>
      </c>
      <c r="AK595" s="158">
        <v>665380</v>
      </c>
      <c r="AL595" s="158">
        <v>665380</v>
      </c>
      <c r="AM595" s="158">
        <v>5148000</v>
      </c>
      <c r="AN595" s="158">
        <v>665380</v>
      </c>
      <c r="AO595" s="158">
        <v>665380</v>
      </c>
      <c r="AP595" s="158">
        <v>665000</v>
      </c>
      <c r="AQ595" s="432">
        <v>0</v>
      </c>
      <c r="AR595" s="432">
        <v>0</v>
      </c>
      <c r="AS595" s="432">
        <v>0</v>
      </c>
      <c r="AT595" s="432">
        <v>0</v>
      </c>
      <c r="AU595" s="432">
        <v>0</v>
      </c>
      <c r="AV595" s="432">
        <v>0</v>
      </c>
      <c r="AW595" s="432">
        <v>0</v>
      </c>
      <c r="AX595" s="432">
        <v>0</v>
      </c>
      <c r="AY595" s="158">
        <v>0</v>
      </c>
      <c r="AZ595" s="158">
        <v>0</v>
      </c>
      <c r="BA595" s="158">
        <v>0</v>
      </c>
      <c r="BB595" s="158">
        <v>0</v>
      </c>
      <c r="BC595" s="158">
        <v>0</v>
      </c>
      <c r="BD595" s="158">
        <v>0</v>
      </c>
      <c r="BE595" s="158">
        <v>0</v>
      </c>
      <c r="BF595" s="160">
        <v>0</v>
      </c>
      <c r="BG595" s="383">
        <v>2023</v>
      </c>
      <c r="BH595" s="383">
        <v>1</v>
      </c>
      <c r="BI595" s="383">
        <v>19</v>
      </c>
      <c r="BK595" s="147" t="str">
        <f>IF(R595=SUM(Z595,AH595,AP595,AX595,BF595),"○","×")</f>
        <v>○</v>
      </c>
    </row>
    <row r="596" spans="1:63" x14ac:dyDescent="0.2">
      <c r="A596" s="428">
        <v>1806</v>
      </c>
      <c r="B596" s="429"/>
      <c r="C596" s="430"/>
      <c r="D596" s="429"/>
      <c r="E596" s="430"/>
      <c r="F596" s="429"/>
      <c r="G596" s="429"/>
      <c r="H596" s="430"/>
      <c r="I596" s="429"/>
      <c r="J596" s="429"/>
      <c r="K596" s="429"/>
      <c r="L596" s="383"/>
      <c r="M596" s="383" t="s">
        <v>942</v>
      </c>
      <c r="N596" s="383" t="s">
        <v>427</v>
      </c>
      <c r="O596" s="383" t="s">
        <v>943</v>
      </c>
      <c r="P596" s="383" t="s">
        <v>970</v>
      </c>
      <c r="Q596" s="383"/>
      <c r="R596" s="431">
        <v>885000</v>
      </c>
      <c r="S596" s="158">
        <v>0</v>
      </c>
      <c r="T596" s="158">
        <v>0</v>
      </c>
      <c r="U596" s="158">
        <v>0</v>
      </c>
      <c r="V596" s="158">
        <v>0</v>
      </c>
      <c r="W596" s="158">
        <v>0</v>
      </c>
      <c r="X596" s="158">
        <v>0</v>
      </c>
      <c r="Y596" s="158">
        <v>0</v>
      </c>
      <c r="Z596" s="158">
        <v>0</v>
      </c>
      <c r="AA596" s="432">
        <v>0</v>
      </c>
      <c r="AB596" s="432">
        <v>0</v>
      </c>
      <c r="AC596" s="432">
        <v>0</v>
      </c>
      <c r="AD596" s="432">
        <v>0</v>
      </c>
      <c r="AE596" s="432">
        <v>0</v>
      </c>
      <c r="AF596" s="432">
        <v>0</v>
      </c>
      <c r="AG596" s="432">
        <v>0</v>
      </c>
      <c r="AH596" s="432">
        <v>0</v>
      </c>
      <c r="AI596" s="158">
        <v>885935</v>
      </c>
      <c r="AJ596" s="158">
        <v>0</v>
      </c>
      <c r="AK596" s="158">
        <v>885935</v>
      </c>
      <c r="AL596" s="158">
        <v>885935</v>
      </c>
      <c r="AM596" s="158">
        <v>6879600</v>
      </c>
      <c r="AN596" s="158">
        <v>885935</v>
      </c>
      <c r="AO596" s="158">
        <v>885935</v>
      </c>
      <c r="AP596" s="158">
        <v>885000</v>
      </c>
      <c r="AQ596" s="432">
        <v>0</v>
      </c>
      <c r="AR596" s="432">
        <v>0</v>
      </c>
      <c r="AS596" s="432">
        <v>0</v>
      </c>
      <c r="AT596" s="432">
        <v>0</v>
      </c>
      <c r="AU596" s="432">
        <v>0</v>
      </c>
      <c r="AV596" s="432">
        <v>0</v>
      </c>
      <c r="AW596" s="432">
        <v>0</v>
      </c>
      <c r="AX596" s="432">
        <v>0</v>
      </c>
      <c r="AY596" s="158">
        <v>0</v>
      </c>
      <c r="AZ596" s="158">
        <v>0</v>
      </c>
      <c r="BA596" s="158">
        <v>0</v>
      </c>
      <c r="BB596" s="158">
        <v>0</v>
      </c>
      <c r="BC596" s="158">
        <v>0</v>
      </c>
      <c r="BD596" s="158">
        <v>0</v>
      </c>
      <c r="BE596" s="158">
        <v>0</v>
      </c>
      <c r="BF596" s="160">
        <v>0</v>
      </c>
      <c r="BG596" s="383">
        <v>2023</v>
      </c>
      <c r="BH596" s="383">
        <v>1</v>
      </c>
      <c r="BI596" s="383">
        <v>19</v>
      </c>
      <c r="BK596" s="147" t="str">
        <f>IF(R596=SUM(Z596,AH596,AP596,AX596,BF596),"○","×")</f>
        <v>○</v>
      </c>
    </row>
    <row r="597" spans="1:63" x14ac:dyDescent="0.2">
      <c r="A597" s="428">
        <v>1807</v>
      </c>
      <c r="B597" s="429"/>
      <c r="C597" s="430"/>
      <c r="D597" s="429"/>
      <c r="E597" s="430"/>
      <c r="F597" s="429"/>
      <c r="G597" s="429"/>
      <c r="H597" s="430"/>
      <c r="I597" s="429"/>
      <c r="J597" s="429"/>
      <c r="K597" s="429"/>
      <c r="L597" s="383"/>
      <c r="M597" s="383" t="s">
        <v>944</v>
      </c>
      <c r="N597" s="383" t="s">
        <v>323</v>
      </c>
      <c r="O597" s="383" t="s">
        <v>671</v>
      </c>
      <c r="P597" s="383" t="s">
        <v>970</v>
      </c>
      <c r="Q597" s="383"/>
      <c r="R597" s="431">
        <v>91000</v>
      </c>
      <c r="S597" s="158">
        <v>0</v>
      </c>
      <c r="T597" s="158">
        <v>0</v>
      </c>
      <c r="U597" s="158">
        <v>0</v>
      </c>
      <c r="V597" s="158">
        <v>0</v>
      </c>
      <c r="W597" s="158">
        <v>0</v>
      </c>
      <c r="X597" s="158">
        <v>0</v>
      </c>
      <c r="Y597" s="158">
        <v>0</v>
      </c>
      <c r="Z597" s="158">
        <v>0</v>
      </c>
      <c r="AA597" s="432">
        <v>0</v>
      </c>
      <c r="AB597" s="432">
        <v>0</v>
      </c>
      <c r="AC597" s="432">
        <v>0</v>
      </c>
      <c r="AD597" s="432">
        <v>0</v>
      </c>
      <c r="AE597" s="432">
        <v>0</v>
      </c>
      <c r="AF597" s="432">
        <v>0</v>
      </c>
      <c r="AG597" s="432">
        <v>0</v>
      </c>
      <c r="AH597" s="432">
        <v>0</v>
      </c>
      <c r="AI597" s="158">
        <v>91390</v>
      </c>
      <c r="AJ597" s="158">
        <v>0</v>
      </c>
      <c r="AK597" s="158">
        <v>91390</v>
      </c>
      <c r="AL597" s="158">
        <v>91390</v>
      </c>
      <c r="AM597" s="158">
        <v>1036800</v>
      </c>
      <c r="AN597" s="158">
        <v>91390</v>
      </c>
      <c r="AO597" s="158">
        <v>91390</v>
      </c>
      <c r="AP597" s="158">
        <v>91000</v>
      </c>
      <c r="AQ597" s="432">
        <v>0</v>
      </c>
      <c r="AR597" s="432">
        <v>0</v>
      </c>
      <c r="AS597" s="432">
        <v>0</v>
      </c>
      <c r="AT597" s="432">
        <v>0</v>
      </c>
      <c r="AU597" s="432">
        <v>0</v>
      </c>
      <c r="AV597" s="432">
        <v>0</v>
      </c>
      <c r="AW597" s="432">
        <v>0</v>
      </c>
      <c r="AX597" s="432">
        <v>0</v>
      </c>
      <c r="AY597" s="158">
        <v>0</v>
      </c>
      <c r="AZ597" s="158">
        <v>0</v>
      </c>
      <c r="BA597" s="158">
        <v>0</v>
      </c>
      <c r="BB597" s="158">
        <v>0</v>
      </c>
      <c r="BC597" s="158">
        <v>0</v>
      </c>
      <c r="BD597" s="158">
        <v>0</v>
      </c>
      <c r="BE597" s="158">
        <v>0</v>
      </c>
      <c r="BF597" s="160">
        <v>0</v>
      </c>
      <c r="BG597" s="383">
        <v>2023</v>
      </c>
      <c r="BH597" s="383">
        <v>1</v>
      </c>
      <c r="BI597" s="383">
        <v>19</v>
      </c>
      <c r="BK597" s="147" t="str">
        <f>IF(R597=SUM(Z597,AH597,AP597,AX597,BF597),"○","×")</f>
        <v>○</v>
      </c>
    </row>
    <row r="598" spans="1:63" x14ac:dyDescent="0.2">
      <c r="A598" s="428">
        <v>1808</v>
      </c>
      <c r="B598" s="429"/>
      <c r="C598" s="430"/>
      <c r="D598" s="429"/>
      <c r="E598" s="430"/>
      <c r="F598" s="429"/>
      <c r="G598" s="429"/>
      <c r="H598" s="430"/>
      <c r="I598" s="429"/>
      <c r="J598" s="429"/>
      <c r="K598" s="429"/>
      <c r="L598" s="383"/>
      <c r="M598" s="383" t="s">
        <v>457</v>
      </c>
      <c r="N598" s="383" t="s">
        <v>356</v>
      </c>
      <c r="O598" s="383" t="s">
        <v>458</v>
      </c>
      <c r="P598" s="383" t="s">
        <v>970</v>
      </c>
      <c r="Q598" s="383"/>
      <c r="R598" s="431">
        <v>672000</v>
      </c>
      <c r="S598" s="158">
        <v>0</v>
      </c>
      <c r="T598" s="158">
        <v>0</v>
      </c>
      <c r="U598" s="158">
        <v>0</v>
      </c>
      <c r="V598" s="158">
        <v>0</v>
      </c>
      <c r="W598" s="158">
        <v>0</v>
      </c>
      <c r="X598" s="158">
        <v>0</v>
      </c>
      <c r="Y598" s="158">
        <v>0</v>
      </c>
      <c r="Z598" s="158">
        <v>0</v>
      </c>
      <c r="AA598" s="432">
        <v>0</v>
      </c>
      <c r="AB598" s="432">
        <v>0</v>
      </c>
      <c r="AC598" s="432">
        <v>0</v>
      </c>
      <c r="AD598" s="432">
        <v>0</v>
      </c>
      <c r="AE598" s="432">
        <v>0</v>
      </c>
      <c r="AF598" s="432">
        <v>0</v>
      </c>
      <c r="AG598" s="432">
        <v>0</v>
      </c>
      <c r="AH598" s="432">
        <v>0</v>
      </c>
      <c r="AI598" s="158">
        <v>672172</v>
      </c>
      <c r="AJ598" s="158">
        <v>0</v>
      </c>
      <c r="AK598" s="158">
        <v>672172</v>
      </c>
      <c r="AL598" s="158">
        <v>672172</v>
      </c>
      <c r="AM598" s="158">
        <v>1814400</v>
      </c>
      <c r="AN598" s="158">
        <v>672172</v>
      </c>
      <c r="AO598" s="158">
        <v>672172</v>
      </c>
      <c r="AP598" s="158">
        <v>672000</v>
      </c>
      <c r="AQ598" s="432">
        <v>0</v>
      </c>
      <c r="AR598" s="432">
        <v>0</v>
      </c>
      <c r="AS598" s="432">
        <v>0</v>
      </c>
      <c r="AT598" s="432">
        <v>0</v>
      </c>
      <c r="AU598" s="432">
        <v>0</v>
      </c>
      <c r="AV598" s="432">
        <v>0</v>
      </c>
      <c r="AW598" s="432">
        <v>0</v>
      </c>
      <c r="AX598" s="432">
        <v>0</v>
      </c>
      <c r="AY598" s="158">
        <v>0</v>
      </c>
      <c r="AZ598" s="158">
        <v>0</v>
      </c>
      <c r="BA598" s="158">
        <v>0</v>
      </c>
      <c r="BB598" s="158">
        <v>0</v>
      </c>
      <c r="BC598" s="158">
        <v>0</v>
      </c>
      <c r="BD598" s="158">
        <v>0</v>
      </c>
      <c r="BE598" s="158">
        <v>0</v>
      </c>
      <c r="BF598" s="160">
        <v>0</v>
      </c>
      <c r="BG598" s="383">
        <v>2023</v>
      </c>
      <c r="BH598" s="383">
        <v>1</v>
      </c>
      <c r="BI598" s="383">
        <v>19</v>
      </c>
      <c r="BK598" s="147" t="str">
        <f>IF(R598=SUM(Z598,AH598,AP598,AX598,BF598),"○","×")</f>
        <v>○</v>
      </c>
    </row>
    <row r="599" spans="1:63" x14ac:dyDescent="0.2">
      <c r="A599" s="428">
        <v>1809</v>
      </c>
      <c r="B599" s="429"/>
      <c r="C599" s="430"/>
      <c r="D599" s="429"/>
      <c r="E599" s="430"/>
      <c r="F599" s="429"/>
      <c r="G599" s="429"/>
      <c r="H599" s="430"/>
      <c r="I599" s="429"/>
      <c r="J599" s="429"/>
      <c r="K599" s="429"/>
      <c r="L599" s="383"/>
      <c r="M599" s="383" t="s">
        <v>637</v>
      </c>
      <c r="N599" s="383" t="s">
        <v>353</v>
      </c>
      <c r="O599" s="383" t="s">
        <v>638</v>
      </c>
      <c r="P599" s="383" t="s">
        <v>970</v>
      </c>
      <c r="Q599" s="383"/>
      <c r="R599" s="431">
        <v>233000</v>
      </c>
      <c r="S599" s="158">
        <v>0</v>
      </c>
      <c r="T599" s="158">
        <v>0</v>
      </c>
      <c r="U599" s="158">
        <v>0</v>
      </c>
      <c r="V599" s="158">
        <v>0</v>
      </c>
      <c r="W599" s="158">
        <v>0</v>
      </c>
      <c r="X599" s="158">
        <v>0</v>
      </c>
      <c r="Y599" s="158">
        <v>0</v>
      </c>
      <c r="Z599" s="158">
        <v>0</v>
      </c>
      <c r="AA599" s="432">
        <v>0</v>
      </c>
      <c r="AB599" s="432">
        <v>0</v>
      </c>
      <c r="AC599" s="432">
        <v>0</v>
      </c>
      <c r="AD599" s="432">
        <v>0</v>
      </c>
      <c r="AE599" s="432">
        <v>0</v>
      </c>
      <c r="AF599" s="432">
        <v>0</v>
      </c>
      <c r="AG599" s="432">
        <v>0</v>
      </c>
      <c r="AH599" s="432">
        <v>0</v>
      </c>
      <c r="AI599" s="158">
        <v>233200</v>
      </c>
      <c r="AJ599" s="158">
        <v>0</v>
      </c>
      <c r="AK599" s="158">
        <v>233200</v>
      </c>
      <c r="AL599" s="158">
        <v>233200</v>
      </c>
      <c r="AM599" s="158">
        <v>1771200</v>
      </c>
      <c r="AN599" s="158">
        <v>233200</v>
      </c>
      <c r="AO599" s="158">
        <v>233200</v>
      </c>
      <c r="AP599" s="158">
        <v>233000</v>
      </c>
      <c r="AQ599" s="432">
        <v>0</v>
      </c>
      <c r="AR599" s="432">
        <v>0</v>
      </c>
      <c r="AS599" s="432">
        <v>0</v>
      </c>
      <c r="AT599" s="432">
        <v>0</v>
      </c>
      <c r="AU599" s="432">
        <v>0</v>
      </c>
      <c r="AV599" s="432">
        <v>0</v>
      </c>
      <c r="AW599" s="432">
        <v>0</v>
      </c>
      <c r="AX599" s="432">
        <v>0</v>
      </c>
      <c r="AY599" s="158">
        <v>0</v>
      </c>
      <c r="AZ599" s="158">
        <v>0</v>
      </c>
      <c r="BA599" s="158">
        <v>0</v>
      </c>
      <c r="BB599" s="158">
        <v>0</v>
      </c>
      <c r="BC599" s="158">
        <v>0</v>
      </c>
      <c r="BD599" s="158">
        <v>0</v>
      </c>
      <c r="BE599" s="158">
        <v>0</v>
      </c>
      <c r="BF599" s="160">
        <v>0</v>
      </c>
      <c r="BG599" s="383">
        <v>2023</v>
      </c>
      <c r="BH599" s="383">
        <v>1</v>
      </c>
      <c r="BI599" s="383">
        <v>19</v>
      </c>
      <c r="BK599" s="147" t="str">
        <f>IF(R599=SUM(Z599,AH599,AP599,AX599,BF599),"○","×")</f>
        <v>○</v>
      </c>
    </row>
    <row r="600" spans="1:63" x14ac:dyDescent="0.2">
      <c r="A600" s="428">
        <v>1810</v>
      </c>
      <c r="B600" s="429"/>
      <c r="C600" s="430"/>
      <c r="D600" s="429"/>
      <c r="E600" s="430"/>
      <c r="F600" s="429"/>
      <c r="G600" s="429"/>
      <c r="H600" s="430"/>
      <c r="I600" s="429"/>
      <c r="J600" s="429"/>
      <c r="K600" s="429"/>
      <c r="L600" s="383"/>
      <c r="M600" s="383" t="s">
        <v>945</v>
      </c>
      <c r="N600" s="383" t="s">
        <v>332</v>
      </c>
      <c r="O600" s="383" t="s">
        <v>946</v>
      </c>
      <c r="P600" s="383" t="s">
        <v>970</v>
      </c>
      <c r="Q600" s="383"/>
      <c r="R600" s="431">
        <v>275000</v>
      </c>
      <c r="S600" s="158">
        <v>0</v>
      </c>
      <c r="T600" s="158">
        <v>0</v>
      </c>
      <c r="U600" s="158">
        <v>0</v>
      </c>
      <c r="V600" s="158">
        <v>0</v>
      </c>
      <c r="W600" s="158">
        <v>0</v>
      </c>
      <c r="X600" s="158">
        <v>0</v>
      </c>
      <c r="Y600" s="158">
        <v>0</v>
      </c>
      <c r="Z600" s="158">
        <v>0</v>
      </c>
      <c r="AA600" s="432">
        <v>0</v>
      </c>
      <c r="AB600" s="432">
        <v>0</v>
      </c>
      <c r="AC600" s="432">
        <v>0</v>
      </c>
      <c r="AD600" s="432">
        <v>0</v>
      </c>
      <c r="AE600" s="432">
        <v>0</v>
      </c>
      <c r="AF600" s="432">
        <v>0</v>
      </c>
      <c r="AG600" s="432">
        <v>0</v>
      </c>
      <c r="AH600" s="432">
        <v>0</v>
      </c>
      <c r="AI600" s="158">
        <v>275358</v>
      </c>
      <c r="AJ600" s="158">
        <v>0</v>
      </c>
      <c r="AK600" s="158">
        <v>275358</v>
      </c>
      <c r="AL600" s="158">
        <v>275358</v>
      </c>
      <c r="AM600" s="158">
        <v>2116800</v>
      </c>
      <c r="AN600" s="158">
        <v>275358</v>
      </c>
      <c r="AO600" s="158">
        <v>275358</v>
      </c>
      <c r="AP600" s="158">
        <v>275000</v>
      </c>
      <c r="AQ600" s="432">
        <v>0</v>
      </c>
      <c r="AR600" s="432">
        <v>0</v>
      </c>
      <c r="AS600" s="432">
        <v>0</v>
      </c>
      <c r="AT600" s="432">
        <v>0</v>
      </c>
      <c r="AU600" s="432">
        <v>0</v>
      </c>
      <c r="AV600" s="432">
        <v>0</v>
      </c>
      <c r="AW600" s="432">
        <v>0</v>
      </c>
      <c r="AX600" s="432">
        <v>0</v>
      </c>
      <c r="AY600" s="158">
        <v>0</v>
      </c>
      <c r="AZ600" s="158">
        <v>0</v>
      </c>
      <c r="BA600" s="158">
        <v>0</v>
      </c>
      <c r="BB600" s="158">
        <v>0</v>
      </c>
      <c r="BC600" s="158">
        <v>0</v>
      </c>
      <c r="BD600" s="158">
        <v>0</v>
      </c>
      <c r="BE600" s="158">
        <v>0</v>
      </c>
      <c r="BF600" s="160">
        <v>0</v>
      </c>
      <c r="BG600" s="383">
        <v>2023</v>
      </c>
      <c r="BH600" s="383">
        <v>1</v>
      </c>
      <c r="BI600" s="383">
        <v>19</v>
      </c>
      <c r="BK600" s="147" t="str">
        <f>IF(R600=SUM(Z600,AH600,AP600,AX600,BF600),"○","×")</f>
        <v>○</v>
      </c>
    </row>
    <row r="601" spans="1:63" x14ac:dyDescent="0.2">
      <c r="A601" s="428">
        <v>1812</v>
      </c>
      <c r="B601" s="429"/>
      <c r="C601" s="430"/>
      <c r="D601" s="429"/>
      <c r="E601" s="430"/>
      <c r="F601" s="429"/>
      <c r="G601" s="429"/>
      <c r="H601" s="430"/>
      <c r="I601" s="429"/>
      <c r="J601" s="429"/>
      <c r="K601" s="429"/>
      <c r="L601" s="383"/>
      <c r="M601" s="383" t="s">
        <v>947</v>
      </c>
      <c r="N601" s="383" t="s">
        <v>447</v>
      </c>
      <c r="O601" s="383" t="s">
        <v>684</v>
      </c>
      <c r="P601" s="383" t="s">
        <v>970</v>
      </c>
      <c r="Q601" s="383"/>
      <c r="R601" s="431">
        <v>446000</v>
      </c>
      <c r="S601" s="158">
        <v>0</v>
      </c>
      <c r="T601" s="158">
        <v>0</v>
      </c>
      <c r="U601" s="158">
        <v>0</v>
      </c>
      <c r="V601" s="158">
        <v>0</v>
      </c>
      <c r="W601" s="158">
        <v>0</v>
      </c>
      <c r="X601" s="158">
        <v>0</v>
      </c>
      <c r="Y601" s="158">
        <v>0</v>
      </c>
      <c r="Z601" s="158">
        <v>0</v>
      </c>
      <c r="AA601" s="432">
        <v>0</v>
      </c>
      <c r="AB601" s="432">
        <v>0</v>
      </c>
      <c r="AC601" s="432">
        <v>0</v>
      </c>
      <c r="AD601" s="432">
        <v>0</v>
      </c>
      <c r="AE601" s="432">
        <v>0</v>
      </c>
      <c r="AF601" s="432">
        <v>0</v>
      </c>
      <c r="AG601" s="432">
        <v>0</v>
      </c>
      <c r="AH601" s="432">
        <v>0</v>
      </c>
      <c r="AI601" s="158">
        <v>446538</v>
      </c>
      <c r="AJ601" s="158">
        <v>0</v>
      </c>
      <c r="AK601" s="158">
        <v>446538</v>
      </c>
      <c r="AL601" s="158">
        <v>446538</v>
      </c>
      <c r="AM601" s="158">
        <v>1252800</v>
      </c>
      <c r="AN601" s="158">
        <v>446538</v>
      </c>
      <c r="AO601" s="158">
        <v>446538</v>
      </c>
      <c r="AP601" s="158">
        <v>446000</v>
      </c>
      <c r="AQ601" s="432">
        <v>0</v>
      </c>
      <c r="AR601" s="432">
        <v>0</v>
      </c>
      <c r="AS601" s="432">
        <v>0</v>
      </c>
      <c r="AT601" s="432">
        <v>0</v>
      </c>
      <c r="AU601" s="432">
        <v>0</v>
      </c>
      <c r="AV601" s="432">
        <v>0</v>
      </c>
      <c r="AW601" s="432">
        <v>0</v>
      </c>
      <c r="AX601" s="432">
        <v>0</v>
      </c>
      <c r="AY601" s="158">
        <v>0</v>
      </c>
      <c r="AZ601" s="158">
        <v>0</v>
      </c>
      <c r="BA601" s="158">
        <v>0</v>
      </c>
      <c r="BB601" s="158">
        <v>0</v>
      </c>
      <c r="BC601" s="158">
        <v>0</v>
      </c>
      <c r="BD601" s="158">
        <v>0</v>
      </c>
      <c r="BE601" s="158">
        <v>0</v>
      </c>
      <c r="BF601" s="160">
        <v>0</v>
      </c>
      <c r="BG601" s="383">
        <v>2023</v>
      </c>
      <c r="BH601" s="383">
        <v>1</v>
      </c>
      <c r="BI601" s="383">
        <v>19</v>
      </c>
      <c r="BK601" s="147" t="str">
        <f>IF(R601=SUM(Z601,AH601,AP601,AX601,BF601),"○","×")</f>
        <v>○</v>
      </c>
    </row>
    <row r="602" spans="1:63" x14ac:dyDescent="0.2">
      <c r="A602" s="428">
        <v>1813</v>
      </c>
      <c r="B602" s="429"/>
      <c r="C602" s="430"/>
      <c r="D602" s="429"/>
      <c r="E602" s="430"/>
      <c r="F602" s="429"/>
      <c r="G602" s="429"/>
      <c r="H602" s="430"/>
      <c r="I602" s="429"/>
      <c r="J602" s="429"/>
      <c r="K602" s="429"/>
      <c r="L602" s="383"/>
      <c r="M602" s="383" t="s">
        <v>744</v>
      </c>
      <c r="N602" s="383" t="s">
        <v>329</v>
      </c>
      <c r="O602" s="383" t="s">
        <v>745</v>
      </c>
      <c r="P602" s="383" t="s">
        <v>970</v>
      </c>
      <c r="Q602" s="383"/>
      <c r="R602" s="431">
        <v>107000</v>
      </c>
      <c r="S602" s="158">
        <v>0</v>
      </c>
      <c r="T602" s="158">
        <v>0</v>
      </c>
      <c r="U602" s="158">
        <v>0</v>
      </c>
      <c r="V602" s="158">
        <v>0</v>
      </c>
      <c r="W602" s="158">
        <v>0</v>
      </c>
      <c r="X602" s="158">
        <v>0</v>
      </c>
      <c r="Y602" s="158">
        <v>0</v>
      </c>
      <c r="Z602" s="158">
        <v>0</v>
      </c>
      <c r="AA602" s="432">
        <v>0</v>
      </c>
      <c r="AB602" s="432">
        <v>0</v>
      </c>
      <c r="AC602" s="432">
        <v>0</v>
      </c>
      <c r="AD602" s="432">
        <v>0</v>
      </c>
      <c r="AE602" s="432">
        <v>0</v>
      </c>
      <c r="AF602" s="432">
        <v>0</v>
      </c>
      <c r="AG602" s="432">
        <v>0</v>
      </c>
      <c r="AH602" s="432">
        <v>0</v>
      </c>
      <c r="AI602" s="158">
        <v>107320</v>
      </c>
      <c r="AJ602" s="158">
        <v>0</v>
      </c>
      <c r="AK602" s="158">
        <v>107320</v>
      </c>
      <c r="AL602" s="158">
        <v>107320</v>
      </c>
      <c r="AM602" s="158">
        <v>2502000</v>
      </c>
      <c r="AN602" s="158">
        <v>107320</v>
      </c>
      <c r="AO602" s="158">
        <v>107320</v>
      </c>
      <c r="AP602" s="158">
        <v>107000</v>
      </c>
      <c r="AQ602" s="432">
        <v>0</v>
      </c>
      <c r="AR602" s="432">
        <v>0</v>
      </c>
      <c r="AS602" s="432">
        <v>0</v>
      </c>
      <c r="AT602" s="432">
        <v>0</v>
      </c>
      <c r="AU602" s="432">
        <v>0</v>
      </c>
      <c r="AV602" s="432">
        <v>0</v>
      </c>
      <c r="AW602" s="432">
        <v>0</v>
      </c>
      <c r="AX602" s="432">
        <v>0</v>
      </c>
      <c r="AY602" s="158">
        <v>0</v>
      </c>
      <c r="AZ602" s="158">
        <v>0</v>
      </c>
      <c r="BA602" s="158">
        <v>0</v>
      </c>
      <c r="BB602" s="158">
        <v>0</v>
      </c>
      <c r="BC602" s="158">
        <v>0</v>
      </c>
      <c r="BD602" s="158">
        <v>0</v>
      </c>
      <c r="BE602" s="158">
        <v>0</v>
      </c>
      <c r="BF602" s="160">
        <v>0</v>
      </c>
      <c r="BG602" s="383">
        <v>2023</v>
      </c>
      <c r="BH602" s="383">
        <v>1</v>
      </c>
      <c r="BI602" s="383">
        <v>19</v>
      </c>
      <c r="BK602" s="147" t="str">
        <f>IF(R602=SUM(Z602,AH602,AP602,AX602,BF602),"○","×")</f>
        <v>○</v>
      </c>
    </row>
    <row r="603" spans="1:63" x14ac:dyDescent="0.2">
      <c r="A603" s="428">
        <v>1814</v>
      </c>
      <c r="B603" s="429"/>
      <c r="C603" s="430"/>
      <c r="D603" s="429"/>
      <c r="E603" s="430"/>
      <c r="F603" s="429"/>
      <c r="G603" s="429"/>
      <c r="H603" s="430"/>
      <c r="I603" s="429"/>
      <c r="J603" s="429"/>
      <c r="K603" s="429"/>
      <c r="L603" s="383"/>
      <c r="M603" s="383" t="s">
        <v>503</v>
      </c>
      <c r="N603" s="383" t="s">
        <v>329</v>
      </c>
      <c r="O603" s="383" t="s">
        <v>504</v>
      </c>
      <c r="P603" s="383" t="s">
        <v>970</v>
      </c>
      <c r="Q603" s="146"/>
      <c r="R603" s="431">
        <v>176000</v>
      </c>
      <c r="S603" s="158">
        <v>0</v>
      </c>
      <c r="T603" s="158">
        <v>0</v>
      </c>
      <c r="U603" s="158">
        <v>0</v>
      </c>
      <c r="V603" s="158">
        <v>0</v>
      </c>
      <c r="W603" s="158">
        <v>0</v>
      </c>
      <c r="X603" s="158">
        <v>0</v>
      </c>
      <c r="Y603" s="158">
        <v>0</v>
      </c>
      <c r="Z603" s="158">
        <v>0</v>
      </c>
      <c r="AA603" s="432">
        <v>0</v>
      </c>
      <c r="AB603" s="432">
        <v>0</v>
      </c>
      <c r="AC603" s="432">
        <v>0</v>
      </c>
      <c r="AD603" s="432">
        <v>0</v>
      </c>
      <c r="AE603" s="432">
        <v>0</v>
      </c>
      <c r="AF603" s="432">
        <v>0</v>
      </c>
      <c r="AG603" s="432">
        <v>0</v>
      </c>
      <c r="AH603" s="432">
        <v>0</v>
      </c>
      <c r="AI603" s="158">
        <v>176740</v>
      </c>
      <c r="AJ603" s="158">
        <v>0</v>
      </c>
      <c r="AK603" s="158">
        <v>176740</v>
      </c>
      <c r="AL603" s="158">
        <v>176740</v>
      </c>
      <c r="AM603" s="158">
        <v>3049200</v>
      </c>
      <c r="AN603" s="158">
        <v>176740</v>
      </c>
      <c r="AO603" s="158">
        <v>176740</v>
      </c>
      <c r="AP603" s="158">
        <v>176000</v>
      </c>
      <c r="AQ603" s="432">
        <v>0</v>
      </c>
      <c r="AR603" s="432">
        <v>0</v>
      </c>
      <c r="AS603" s="432">
        <v>0</v>
      </c>
      <c r="AT603" s="432">
        <v>0</v>
      </c>
      <c r="AU603" s="432">
        <v>0</v>
      </c>
      <c r="AV603" s="432">
        <v>0</v>
      </c>
      <c r="AW603" s="432">
        <v>0</v>
      </c>
      <c r="AX603" s="432">
        <v>0</v>
      </c>
      <c r="AY603" s="158">
        <v>0</v>
      </c>
      <c r="AZ603" s="158">
        <v>0</v>
      </c>
      <c r="BA603" s="158">
        <v>0</v>
      </c>
      <c r="BB603" s="158">
        <v>0</v>
      </c>
      <c r="BC603" s="158">
        <v>0</v>
      </c>
      <c r="BD603" s="158">
        <v>0</v>
      </c>
      <c r="BE603" s="158">
        <v>0</v>
      </c>
      <c r="BF603" s="160">
        <v>0</v>
      </c>
      <c r="BG603" s="383">
        <v>2023</v>
      </c>
      <c r="BH603" s="383">
        <v>1</v>
      </c>
      <c r="BI603" s="383">
        <v>19</v>
      </c>
      <c r="BK603" s="147" t="str">
        <f>IF(R603=SUM(Z603,AH603,AP603,AX603,BF603),"○","×")</f>
        <v>○</v>
      </c>
    </row>
    <row r="604" spans="1:63" x14ac:dyDescent="0.2">
      <c r="A604" s="428">
        <v>1815</v>
      </c>
      <c r="B604" s="429"/>
      <c r="C604" s="430"/>
      <c r="D604" s="429"/>
      <c r="E604" s="430"/>
      <c r="F604" s="429"/>
      <c r="G604" s="429"/>
      <c r="H604" s="430"/>
      <c r="I604" s="429"/>
      <c r="J604" s="429"/>
      <c r="K604" s="429"/>
      <c r="L604" s="383"/>
      <c r="M604" s="383" t="s">
        <v>948</v>
      </c>
      <c r="N604" s="383" t="s">
        <v>353</v>
      </c>
      <c r="O604" s="383" t="s">
        <v>391</v>
      </c>
      <c r="P604" s="383" t="s">
        <v>970</v>
      </c>
      <c r="Q604" s="146"/>
      <c r="R604" s="431">
        <v>117000</v>
      </c>
      <c r="S604" s="158">
        <v>0</v>
      </c>
      <c r="T604" s="158">
        <v>0</v>
      </c>
      <c r="U604" s="158">
        <v>0</v>
      </c>
      <c r="V604" s="158">
        <v>0</v>
      </c>
      <c r="W604" s="158">
        <v>0</v>
      </c>
      <c r="X604" s="158">
        <v>0</v>
      </c>
      <c r="Y604" s="158">
        <v>0</v>
      </c>
      <c r="Z604" s="158">
        <v>0</v>
      </c>
      <c r="AA604" s="432">
        <v>0</v>
      </c>
      <c r="AB604" s="432">
        <v>0</v>
      </c>
      <c r="AC604" s="432">
        <v>0</v>
      </c>
      <c r="AD604" s="432">
        <v>0</v>
      </c>
      <c r="AE604" s="432">
        <v>0</v>
      </c>
      <c r="AF604" s="432">
        <v>0</v>
      </c>
      <c r="AG604" s="432">
        <v>0</v>
      </c>
      <c r="AH604" s="432">
        <v>0</v>
      </c>
      <c r="AI604" s="158">
        <v>117190</v>
      </c>
      <c r="AJ604" s="158">
        <v>0</v>
      </c>
      <c r="AK604" s="158">
        <v>117190</v>
      </c>
      <c r="AL604" s="158">
        <v>117190</v>
      </c>
      <c r="AM604" s="158">
        <v>4320000</v>
      </c>
      <c r="AN604" s="158">
        <v>117190</v>
      </c>
      <c r="AO604" s="158">
        <v>117190</v>
      </c>
      <c r="AP604" s="158">
        <v>117000</v>
      </c>
      <c r="AQ604" s="432">
        <v>0</v>
      </c>
      <c r="AR604" s="432">
        <v>0</v>
      </c>
      <c r="AS604" s="432">
        <v>0</v>
      </c>
      <c r="AT604" s="432">
        <v>0</v>
      </c>
      <c r="AU604" s="432">
        <v>0</v>
      </c>
      <c r="AV604" s="432">
        <v>0</v>
      </c>
      <c r="AW604" s="432">
        <v>0</v>
      </c>
      <c r="AX604" s="432">
        <v>0</v>
      </c>
      <c r="AY604" s="158">
        <v>0</v>
      </c>
      <c r="AZ604" s="158">
        <v>0</v>
      </c>
      <c r="BA604" s="158">
        <v>0</v>
      </c>
      <c r="BB604" s="158">
        <v>0</v>
      </c>
      <c r="BC604" s="158">
        <v>0</v>
      </c>
      <c r="BD604" s="158">
        <v>0</v>
      </c>
      <c r="BE604" s="158">
        <v>0</v>
      </c>
      <c r="BF604" s="160">
        <v>0</v>
      </c>
      <c r="BG604" s="383">
        <v>2023</v>
      </c>
      <c r="BH604" s="383">
        <v>1</v>
      </c>
      <c r="BI604" s="383">
        <v>19</v>
      </c>
      <c r="BK604" s="147" t="str">
        <f>IF(R604=SUM(Z604,AH604,AP604,AX604,BF604),"○","×")</f>
        <v>○</v>
      </c>
    </row>
    <row r="605" spans="1:63" x14ac:dyDescent="0.2">
      <c r="A605" s="428">
        <v>1816</v>
      </c>
      <c r="B605" s="429"/>
      <c r="C605" s="430"/>
      <c r="D605" s="429"/>
      <c r="E605" s="430"/>
      <c r="F605" s="429"/>
      <c r="G605" s="429"/>
      <c r="H605" s="430"/>
      <c r="I605" s="429"/>
      <c r="J605" s="429"/>
      <c r="K605" s="429"/>
      <c r="L605" s="383"/>
      <c r="M605" s="383" t="s">
        <v>949</v>
      </c>
      <c r="N605" s="383" t="s">
        <v>326</v>
      </c>
      <c r="O605" s="383" t="s">
        <v>650</v>
      </c>
      <c r="P605" s="383" t="s">
        <v>970</v>
      </c>
      <c r="Q605" s="383"/>
      <c r="R605" s="431">
        <v>230000</v>
      </c>
      <c r="S605" s="158">
        <v>0</v>
      </c>
      <c r="T605" s="158">
        <v>0</v>
      </c>
      <c r="U605" s="158">
        <v>0</v>
      </c>
      <c r="V605" s="158">
        <v>0</v>
      </c>
      <c r="W605" s="158">
        <v>0</v>
      </c>
      <c r="X605" s="158">
        <v>0</v>
      </c>
      <c r="Y605" s="158">
        <v>0</v>
      </c>
      <c r="Z605" s="158">
        <v>0</v>
      </c>
      <c r="AA605" s="432">
        <v>0</v>
      </c>
      <c r="AB605" s="432">
        <v>0</v>
      </c>
      <c r="AC605" s="432">
        <v>0</v>
      </c>
      <c r="AD605" s="432">
        <v>0</v>
      </c>
      <c r="AE605" s="432">
        <v>0</v>
      </c>
      <c r="AF605" s="432">
        <v>0</v>
      </c>
      <c r="AG605" s="432">
        <v>0</v>
      </c>
      <c r="AH605" s="432">
        <v>0</v>
      </c>
      <c r="AI605" s="158">
        <v>230654</v>
      </c>
      <c r="AJ605" s="158">
        <v>0</v>
      </c>
      <c r="AK605" s="158">
        <v>230654</v>
      </c>
      <c r="AL605" s="158">
        <v>230654</v>
      </c>
      <c r="AM605" s="158">
        <v>1533600</v>
      </c>
      <c r="AN605" s="158">
        <v>230654</v>
      </c>
      <c r="AO605" s="158">
        <v>230654</v>
      </c>
      <c r="AP605" s="158">
        <v>230000</v>
      </c>
      <c r="AQ605" s="432">
        <v>0</v>
      </c>
      <c r="AR605" s="432">
        <v>0</v>
      </c>
      <c r="AS605" s="432">
        <v>0</v>
      </c>
      <c r="AT605" s="432">
        <v>0</v>
      </c>
      <c r="AU605" s="432">
        <v>0</v>
      </c>
      <c r="AV605" s="432">
        <v>0</v>
      </c>
      <c r="AW605" s="432">
        <v>0</v>
      </c>
      <c r="AX605" s="432">
        <v>0</v>
      </c>
      <c r="AY605" s="158">
        <v>0</v>
      </c>
      <c r="AZ605" s="158">
        <v>0</v>
      </c>
      <c r="BA605" s="158">
        <v>0</v>
      </c>
      <c r="BB605" s="158">
        <v>0</v>
      </c>
      <c r="BC605" s="158">
        <v>0</v>
      </c>
      <c r="BD605" s="158">
        <v>0</v>
      </c>
      <c r="BE605" s="158">
        <v>0</v>
      </c>
      <c r="BF605" s="160">
        <v>0</v>
      </c>
      <c r="BG605" s="383">
        <v>2023</v>
      </c>
      <c r="BH605" s="383">
        <v>3</v>
      </c>
      <c r="BI605" s="383">
        <v>9</v>
      </c>
      <c r="BK605" s="147" t="str">
        <f>IF(R605=SUM(Z605,AH605,AP605,AX605,BF605),"○","×")</f>
        <v>○</v>
      </c>
    </row>
    <row r="606" spans="1:63" x14ac:dyDescent="0.2">
      <c r="A606" s="428">
        <v>1817</v>
      </c>
      <c r="B606" s="429"/>
      <c r="C606" s="430"/>
      <c r="D606" s="429"/>
      <c r="E606" s="430"/>
      <c r="F606" s="429"/>
      <c r="G606" s="429"/>
      <c r="H606" s="430"/>
      <c r="I606" s="429"/>
      <c r="J606" s="429"/>
      <c r="K606" s="429"/>
      <c r="L606" s="383"/>
      <c r="M606" s="383" t="s">
        <v>950</v>
      </c>
      <c r="N606" s="383" t="s">
        <v>356</v>
      </c>
      <c r="O606" s="383" t="s">
        <v>951</v>
      </c>
      <c r="P606" s="383" t="s">
        <v>970</v>
      </c>
      <c r="Q606" s="383"/>
      <c r="R606" s="431">
        <v>153000</v>
      </c>
      <c r="S606" s="158">
        <v>0</v>
      </c>
      <c r="T606" s="158">
        <v>0</v>
      </c>
      <c r="U606" s="158">
        <v>0</v>
      </c>
      <c r="V606" s="158">
        <v>0</v>
      </c>
      <c r="W606" s="158">
        <v>0</v>
      </c>
      <c r="X606" s="158">
        <v>0</v>
      </c>
      <c r="Y606" s="158">
        <v>0</v>
      </c>
      <c r="Z606" s="158">
        <v>0</v>
      </c>
      <c r="AA606" s="432">
        <v>0</v>
      </c>
      <c r="AB606" s="432">
        <v>0</v>
      </c>
      <c r="AC606" s="432">
        <v>0</v>
      </c>
      <c r="AD606" s="432">
        <v>0</v>
      </c>
      <c r="AE606" s="432">
        <v>0</v>
      </c>
      <c r="AF606" s="432">
        <v>0</v>
      </c>
      <c r="AG606" s="432">
        <v>0</v>
      </c>
      <c r="AH606" s="432">
        <v>0</v>
      </c>
      <c r="AI606" s="158">
        <v>153930</v>
      </c>
      <c r="AJ606" s="158">
        <v>0</v>
      </c>
      <c r="AK606" s="158">
        <v>153930</v>
      </c>
      <c r="AL606" s="158">
        <v>153930</v>
      </c>
      <c r="AM606" s="158">
        <v>2797200</v>
      </c>
      <c r="AN606" s="158">
        <v>153930</v>
      </c>
      <c r="AO606" s="158">
        <v>153930</v>
      </c>
      <c r="AP606" s="158">
        <v>153000</v>
      </c>
      <c r="AQ606" s="432">
        <v>0</v>
      </c>
      <c r="AR606" s="432">
        <v>0</v>
      </c>
      <c r="AS606" s="432">
        <v>0</v>
      </c>
      <c r="AT606" s="432">
        <v>0</v>
      </c>
      <c r="AU606" s="432">
        <v>0</v>
      </c>
      <c r="AV606" s="432">
        <v>0</v>
      </c>
      <c r="AW606" s="432">
        <v>0</v>
      </c>
      <c r="AX606" s="432">
        <v>0</v>
      </c>
      <c r="AY606" s="158">
        <v>0</v>
      </c>
      <c r="AZ606" s="158">
        <v>0</v>
      </c>
      <c r="BA606" s="158">
        <v>0</v>
      </c>
      <c r="BB606" s="158">
        <v>0</v>
      </c>
      <c r="BC606" s="158">
        <v>0</v>
      </c>
      <c r="BD606" s="158">
        <v>0</v>
      </c>
      <c r="BE606" s="158">
        <v>0</v>
      </c>
      <c r="BF606" s="160">
        <v>0</v>
      </c>
      <c r="BG606" s="383">
        <v>2023</v>
      </c>
      <c r="BH606" s="383">
        <v>3</v>
      </c>
      <c r="BI606" s="383">
        <v>9</v>
      </c>
      <c r="BK606" s="147" t="str">
        <f>IF(R606=SUM(Z606,AH606,AP606,AX606,BF606),"○","×")</f>
        <v>○</v>
      </c>
    </row>
    <row r="607" spans="1:63" x14ac:dyDescent="0.2">
      <c r="A607" s="428">
        <v>1818</v>
      </c>
      <c r="B607" s="429"/>
      <c r="C607" s="430"/>
      <c r="D607" s="429"/>
      <c r="E607" s="430"/>
      <c r="F607" s="429"/>
      <c r="G607" s="429"/>
      <c r="H607" s="430"/>
      <c r="I607" s="429"/>
      <c r="J607" s="429"/>
      <c r="K607" s="429"/>
      <c r="L607" s="383"/>
      <c r="M607" s="383" t="s">
        <v>511</v>
      </c>
      <c r="N607" s="383" t="s">
        <v>323</v>
      </c>
      <c r="O607" s="383" t="s">
        <v>464</v>
      </c>
      <c r="P607" s="383" t="s">
        <v>970</v>
      </c>
      <c r="Q607" s="383"/>
      <c r="R607" s="431">
        <v>440000</v>
      </c>
      <c r="S607" s="158">
        <v>0</v>
      </c>
      <c r="T607" s="158">
        <v>0</v>
      </c>
      <c r="U607" s="158">
        <v>0</v>
      </c>
      <c r="V607" s="158">
        <v>0</v>
      </c>
      <c r="W607" s="158">
        <v>0</v>
      </c>
      <c r="X607" s="158">
        <v>0</v>
      </c>
      <c r="Y607" s="158">
        <v>0</v>
      </c>
      <c r="Z607" s="158">
        <v>0</v>
      </c>
      <c r="AA607" s="432">
        <v>0</v>
      </c>
      <c r="AB607" s="432">
        <v>0</v>
      </c>
      <c r="AC607" s="432">
        <v>0</v>
      </c>
      <c r="AD607" s="432">
        <v>0</v>
      </c>
      <c r="AE607" s="432">
        <v>0</v>
      </c>
      <c r="AF607" s="432">
        <v>0</v>
      </c>
      <c r="AG607" s="432">
        <v>0</v>
      </c>
      <c r="AH607" s="432">
        <v>0</v>
      </c>
      <c r="AI607" s="158">
        <v>440630</v>
      </c>
      <c r="AJ607" s="158">
        <v>0</v>
      </c>
      <c r="AK607" s="158">
        <v>440630</v>
      </c>
      <c r="AL607" s="158">
        <v>440630</v>
      </c>
      <c r="AM607" s="158">
        <v>5004000</v>
      </c>
      <c r="AN607" s="158">
        <v>440630</v>
      </c>
      <c r="AO607" s="158">
        <v>440630</v>
      </c>
      <c r="AP607" s="158">
        <v>440000</v>
      </c>
      <c r="AQ607" s="432">
        <v>0</v>
      </c>
      <c r="AR607" s="432">
        <v>0</v>
      </c>
      <c r="AS607" s="432">
        <v>0</v>
      </c>
      <c r="AT607" s="432">
        <v>0</v>
      </c>
      <c r="AU607" s="432">
        <v>0</v>
      </c>
      <c r="AV607" s="432">
        <v>0</v>
      </c>
      <c r="AW607" s="432">
        <v>0</v>
      </c>
      <c r="AX607" s="432">
        <v>0</v>
      </c>
      <c r="AY607" s="158">
        <v>0</v>
      </c>
      <c r="AZ607" s="158">
        <v>0</v>
      </c>
      <c r="BA607" s="158">
        <v>0</v>
      </c>
      <c r="BB607" s="158">
        <v>0</v>
      </c>
      <c r="BC607" s="158">
        <v>0</v>
      </c>
      <c r="BD607" s="158">
        <v>0</v>
      </c>
      <c r="BE607" s="158">
        <v>0</v>
      </c>
      <c r="BF607" s="160">
        <v>0</v>
      </c>
      <c r="BG607" s="383">
        <v>2023</v>
      </c>
      <c r="BH607" s="383">
        <v>3</v>
      </c>
      <c r="BI607" s="383">
        <v>9</v>
      </c>
      <c r="BK607" s="147" t="str">
        <f>IF(R607=SUM(Z607,AH607,AP607,AX607,BF607),"○","×")</f>
        <v>○</v>
      </c>
    </row>
    <row r="608" spans="1:63" x14ac:dyDescent="0.2">
      <c r="A608" s="428">
        <v>1819</v>
      </c>
      <c r="B608" s="429"/>
      <c r="C608" s="430"/>
      <c r="D608" s="429"/>
      <c r="E608" s="430"/>
      <c r="F608" s="429"/>
      <c r="G608" s="429"/>
      <c r="H608" s="430"/>
      <c r="I608" s="429"/>
      <c r="J608" s="429"/>
      <c r="K608" s="429"/>
      <c r="L608" s="383"/>
      <c r="M608" s="383" t="s">
        <v>552</v>
      </c>
      <c r="N608" s="383" t="s">
        <v>353</v>
      </c>
      <c r="O608" s="383" t="s">
        <v>346</v>
      </c>
      <c r="P608" s="383" t="s">
        <v>970</v>
      </c>
      <c r="Q608" s="146"/>
      <c r="R608" s="431">
        <v>738000</v>
      </c>
      <c r="S608" s="158">
        <v>0</v>
      </c>
      <c r="T608" s="158">
        <v>0</v>
      </c>
      <c r="U608" s="158">
        <v>0</v>
      </c>
      <c r="V608" s="158">
        <v>0</v>
      </c>
      <c r="W608" s="158">
        <v>0</v>
      </c>
      <c r="X608" s="158">
        <v>0</v>
      </c>
      <c r="Y608" s="158">
        <v>0</v>
      </c>
      <c r="Z608" s="158">
        <v>0</v>
      </c>
      <c r="AA608" s="432">
        <v>0</v>
      </c>
      <c r="AB608" s="432">
        <v>0</v>
      </c>
      <c r="AC608" s="432">
        <v>0</v>
      </c>
      <c r="AD608" s="432">
        <v>0</v>
      </c>
      <c r="AE608" s="432">
        <v>0</v>
      </c>
      <c r="AF608" s="432">
        <v>0</v>
      </c>
      <c r="AG608" s="432">
        <v>0</v>
      </c>
      <c r="AH608" s="432">
        <v>0</v>
      </c>
      <c r="AI608" s="158">
        <v>738685</v>
      </c>
      <c r="AJ608" s="158">
        <v>0</v>
      </c>
      <c r="AK608" s="158">
        <v>738685</v>
      </c>
      <c r="AL608" s="158">
        <v>738685</v>
      </c>
      <c r="AM608" s="158">
        <v>2268000</v>
      </c>
      <c r="AN608" s="158">
        <v>738685</v>
      </c>
      <c r="AO608" s="158">
        <v>738685</v>
      </c>
      <c r="AP608" s="158">
        <v>738000</v>
      </c>
      <c r="AQ608" s="432">
        <v>0</v>
      </c>
      <c r="AR608" s="432">
        <v>0</v>
      </c>
      <c r="AS608" s="432">
        <v>0</v>
      </c>
      <c r="AT608" s="432">
        <v>0</v>
      </c>
      <c r="AU608" s="432">
        <v>0</v>
      </c>
      <c r="AV608" s="432">
        <v>0</v>
      </c>
      <c r="AW608" s="432">
        <v>0</v>
      </c>
      <c r="AX608" s="432">
        <v>0</v>
      </c>
      <c r="AY608" s="158">
        <v>0</v>
      </c>
      <c r="AZ608" s="158">
        <v>0</v>
      </c>
      <c r="BA608" s="158">
        <v>0</v>
      </c>
      <c r="BB608" s="158">
        <v>0</v>
      </c>
      <c r="BC608" s="158">
        <v>0</v>
      </c>
      <c r="BD608" s="158">
        <v>0</v>
      </c>
      <c r="BE608" s="158">
        <v>0</v>
      </c>
      <c r="BF608" s="160">
        <v>0</v>
      </c>
      <c r="BG608" s="383">
        <v>2023</v>
      </c>
      <c r="BH608" s="383">
        <v>3</v>
      </c>
      <c r="BI608" s="383">
        <v>9</v>
      </c>
      <c r="BK608" s="147" t="str">
        <f>IF(R608=SUM(Z608,AH608,AP608,AX608,BF608),"○","×")</f>
        <v>○</v>
      </c>
    </row>
    <row r="609" spans="1:63" x14ac:dyDescent="0.2">
      <c r="A609" s="428">
        <v>1821</v>
      </c>
      <c r="B609" s="429"/>
      <c r="C609" s="430"/>
      <c r="D609" s="429"/>
      <c r="E609" s="430"/>
      <c r="F609" s="429"/>
      <c r="G609" s="429"/>
      <c r="H609" s="430"/>
      <c r="I609" s="429"/>
      <c r="J609" s="429"/>
      <c r="K609" s="429"/>
      <c r="L609" s="383"/>
      <c r="M609" s="383" t="s">
        <v>796</v>
      </c>
      <c r="N609" s="383" t="s">
        <v>323</v>
      </c>
      <c r="O609" s="383" t="s">
        <v>599</v>
      </c>
      <c r="P609" s="383" t="s">
        <v>970</v>
      </c>
      <c r="Q609" s="383"/>
      <c r="R609" s="431">
        <v>231000</v>
      </c>
      <c r="S609" s="158">
        <v>0</v>
      </c>
      <c r="T609" s="158">
        <v>0</v>
      </c>
      <c r="U609" s="158">
        <v>0</v>
      </c>
      <c r="V609" s="158">
        <v>0</v>
      </c>
      <c r="W609" s="158">
        <v>0</v>
      </c>
      <c r="X609" s="158">
        <v>0</v>
      </c>
      <c r="Y609" s="158">
        <v>0</v>
      </c>
      <c r="Z609" s="158">
        <v>0</v>
      </c>
      <c r="AA609" s="432">
        <v>0</v>
      </c>
      <c r="AB609" s="432">
        <v>0</v>
      </c>
      <c r="AC609" s="432">
        <v>0</v>
      </c>
      <c r="AD609" s="432">
        <v>0</v>
      </c>
      <c r="AE609" s="432">
        <v>0</v>
      </c>
      <c r="AF609" s="432">
        <v>0</v>
      </c>
      <c r="AG609" s="432">
        <v>0</v>
      </c>
      <c r="AH609" s="432">
        <v>0</v>
      </c>
      <c r="AI609" s="158">
        <v>231820</v>
      </c>
      <c r="AJ609" s="158">
        <v>0</v>
      </c>
      <c r="AK609" s="158">
        <v>231820</v>
      </c>
      <c r="AL609" s="158">
        <v>231820</v>
      </c>
      <c r="AM609" s="158">
        <v>1728000</v>
      </c>
      <c r="AN609" s="158">
        <v>231820</v>
      </c>
      <c r="AO609" s="158">
        <v>231820</v>
      </c>
      <c r="AP609" s="158">
        <v>231000</v>
      </c>
      <c r="AQ609" s="432">
        <v>0</v>
      </c>
      <c r="AR609" s="432">
        <v>0</v>
      </c>
      <c r="AS609" s="432">
        <v>0</v>
      </c>
      <c r="AT609" s="432">
        <v>0</v>
      </c>
      <c r="AU609" s="432">
        <v>0</v>
      </c>
      <c r="AV609" s="432">
        <v>0</v>
      </c>
      <c r="AW609" s="432">
        <v>0</v>
      </c>
      <c r="AX609" s="432">
        <v>0</v>
      </c>
      <c r="AY609" s="158">
        <v>0</v>
      </c>
      <c r="AZ609" s="158">
        <v>0</v>
      </c>
      <c r="BA609" s="158">
        <v>0</v>
      </c>
      <c r="BB609" s="158">
        <v>0</v>
      </c>
      <c r="BC609" s="158">
        <v>0</v>
      </c>
      <c r="BD609" s="158">
        <v>0</v>
      </c>
      <c r="BE609" s="158">
        <v>0</v>
      </c>
      <c r="BF609" s="160">
        <v>0</v>
      </c>
      <c r="BG609" s="383">
        <v>2023</v>
      </c>
      <c r="BH609" s="383">
        <v>3</v>
      </c>
      <c r="BI609" s="383">
        <v>9</v>
      </c>
      <c r="BK609" s="147" t="str">
        <f>IF(R609=SUM(Z609,AH609,AP609,AX609,BF609),"○","×")</f>
        <v>○</v>
      </c>
    </row>
    <row r="610" spans="1:63" x14ac:dyDescent="0.2">
      <c r="A610" s="428">
        <v>1822</v>
      </c>
      <c r="B610" s="429"/>
      <c r="C610" s="430"/>
      <c r="D610" s="429"/>
      <c r="E610" s="430"/>
      <c r="F610" s="429"/>
      <c r="G610" s="429"/>
      <c r="H610" s="430"/>
      <c r="I610" s="429"/>
      <c r="J610" s="429"/>
      <c r="K610" s="429"/>
      <c r="L610" s="383"/>
      <c r="M610" s="383" t="s">
        <v>952</v>
      </c>
      <c r="N610" s="383" t="s">
        <v>340</v>
      </c>
      <c r="O610" s="383" t="s">
        <v>711</v>
      </c>
      <c r="P610" s="383" t="s">
        <v>970</v>
      </c>
      <c r="Q610" s="383"/>
      <c r="R610" s="431">
        <v>374000</v>
      </c>
      <c r="S610" s="158">
        <v>0</v>
      </c>
      <c r="T610" s="158">
        <v>0</v>
      </c>
      <c r="U610" s="158">
        <v>0</v>
      </c>
      <c r="V610" s="158">
        <v>0</v>
      </c>
      <c r="W610" s="158">
        <v>0</v>
      </c>
      <c r="X610" s="158">
        <v>0</v>
      </c>
      <c r="Y610" s="158">
        <v>0</v>
      </c>
      <c r="Z610" s="158">
        <v>0</v>
      </c>
      <c r="AA610" s="432">
        <v>0</v>
      </c>
      <c r="AB610" s="432">
        <v>0</v>
      </c>
      <c r="AC610" s="432">
        <v>0</v>
      </c>
      <c r="AD610" s="432">
        <v>0</v>
      </c>
      <c r="AE610" s="432">
        <v>0</v>
      </c>
      <c r="AF610" s="432">
        <v>0</v>
      </c>
      <c r="AG610" s="432">
        <v>0</v>
      </c>
      <c r="AH610" s="432">
        <v>0</v>
      </c>
      <c r="AI610" s="158">
        <v>374550</v>
      </c>
      <c r="AJ610" s="158">
        <v>0</v>
      </c>
      <c r="AK610" s="158">
        <v>374550</v>
      </c>
      <c r="AL610" s="158">
        <v>374550</v>
      </c>
      <c r="AM610" s="158">
        <v>2160000</v>
      </c>
      <c r="AN610" s="158">
        <v>374550</v>
      </c>
      <c r="AO610" s="158">
        <v>374550</v>
      </c>
      <c r="AP610" s="158">
        <v>374000</v>
      </c>
      <c r="AQ610" s="432">
        <v>0</v>
      </c>
      <c r="AR610" s="432">
        <v>0</v>
      </c>
      <c r="AS610" s="432">
        <v>0</v>
      </c>
      <c r="AT610" s="432">
        <v>0</v>
      </c>
      <c r="AU610" s="432">
        <v>0</v>
      </c>
      <c r="AV610" s="432">
        <v>0</v>
      </c>
      <c r="AW610" s="432">
        <v>0</v>
      </c>
      <c r="AX610" s="432">
        <v>0</v>
      </c>
      <c r="AY610" s="158">
        <v>0</v>
      </c>
      <c r="AZ610" s="158">
        <v>0</v>
      </c>
      <c r="BA610" s="158">
        <v>0</v>
      </c>
      <c r="BB610" s="158">
        <v>0</v>
      </c>
      <c r="BC610" s="158">
        <v>0</v>
      </c>
      <c r="BD610" s="158">
        <v>0</v>
      </c>
      <c r="BE610" s="158">
        <v>0</v>
      </c>
      <c r="BF610" s="160">
        <v>0</v>
      </c>
      <c r="BG610" s="383">
        <v>2023</v>
      </c>
      <c r="BH610" s="383">
        <v>3</v>
      </c>
      <c r="BI610" s="383">
        <v>9</v>
      </c>
      <c r="BK610" s="147" t="str">
        <f>IF(R610=SUM(Z610,AH610,AP610,AX610,BF610),"○","×")</f>
        <v>○</v>
      </c>
    </row>
    <row r="611" spans="1:63" x14ac:dyDescent="0.2">
      <c r="A611" s="428">
        <v>1826</v>
      </c>
      <c r="B611" s="429"/>
      <c r="C611" s="430"/>
      <c r="D611" s="429"/>
      <c r="E611" s="430"/>
      <c r="F611" s="429"/>
      <c r="G611" s="429"/>
      <c r="H611" s="430"/>
      <c r="I611" s="429"/>
      <c r="J611" s="429"/>
      <c r="K611" s="429"/>
      <c r="L611" s="383"/>
      <c r="M611" s="383" t="s">
        <v>359</v>
      </c>
      <c r="N611" s="383" t="s">
        <v>360</v>
      </c>
      <c r="O611" s="383" t="s">
        <v>361</v>
      </c>
      <c r="P611" s="383" t="s">
        <v>970</v>
      </c>
      <c r="Q611" s="383"/>
      <c r="R611" s="431">
        <v>554000</v>
      </c>
      <c r="S611" s="158">
        <v>0</v>
      </c>
      <c r="T611" s="158">
        <v>0</v>
      </c>
      <c r="U611" s="158">
        <v>0</v>
      </c>
      <c r="V611" s="158">
        <v>0</v>
      </c>
      <c r="W611" s="158">
        <v>0</v>
      </c>
      <c r="X611" s="158">
        <v>0</v>
      </c>
      <c r="Y611" s="158">
        <v>0</v>
      </c>
      <c r="Z611" s="158">
        <v>0</v>
      </c>
      <c r="AA611" s="432">
        <v>0</v>
      </c>
      <c r="AB611" s="432">
        <v>0</v>
      </c>
      <c r="AC611" s="432">
        <v>0</v>
      </c>
      <c r="AD611" s="432">
        <v>0</v>
      </c>
      <c r="AE611" s="432">
        <v>0</v>
      </c>
      <c r="AF611" s="432">
        <v>0</v>
      </c>
      <c r="AG611" s="432">
        <v>0</v>
      </c>
      <c r="AH611" s="432">
        <v>0</v>
      </c>
      <c r="AI611" s="158">
        <v>414920</v>
      </c>
      <c r="AJ611" s="158">
        <v>0</v>
      </c>
      <c r="AK611" s="158">
        <v>414920</v>
      </c>
      <c r="AL611" s="158">
        <v>414920</v>
      </c>
      <c r="AM611" s="158">
        <v>6879600</v>
      </c>
      <c r="AN611" s="158">
        <v>414920</v>
      </c>
      <c r="AO611" s="158">
        <v>414920</v>
      </c>
      <c r="AP611" s="158">
        <v>414000</v>
      </c>
      <c r="AQ611" s="432">
        <v>0</v>
      </c>
      <c r="AR611" s="432">
        <v>0</v>
      </c>
      <c r="AS611" s="432">
        <v>0</v>
      </c>
      <c r="AT611" s="432">
        <v>0</v>
      </c>
      <c r="AU611" s="432">
        <v>0</v>
      </c>
      <c r="AV611" s="432">
        <v>0</v>
      </c>
      <c r="AW611" s="432">
        <v>0</v>
      </c>
      <c r="AX611" s="432">
        <v>0</v>
      </c>
      <c r="AY611" s="158">
        <v>140580</v>
      </c>
      <c r="AZ611" s="158">
        <v>0</v>
      </c>
      <c r="BA611" s="158">
        <v>140580</v>
      </c>
      <c r="BB611" s="158">
        <v>140580</v>
      </c>
      <c r="BC611" s="158">
        <v>140580</v>
      </c>
      <c r="BD611" s="158">
        <v>140580</v>
      </c>
      <c r="BE611" s="158">
        <v>140580</v>
      </c>
      <c r="BF611" s="160">
        <v>140000</v>
      </c>
      <c r="BG611" s="383">
        <v>2023</v>
      </c>
      <c r="BH611" s="383">
        <v>3</v>
      </c>
      <c r="BI611" s="383">
        <v>9</v>
      </c>
      <c r="BK611" s="147" t="str">
        <f>IF(R611=SUM(Z611,AH611,AP611,AX611,BF611),"○","×")</f>
        <v>○</v>
      </c>
    </row>
    <row r="612" spans="1:63" x14ac:dyDescent="0.2">
      <c r="A612" s="428">
        <v>1827</v>
      </c>
      <c r="B612" s="429"/>
      <c r="C612" s="430"/>
      <c r="D612" s="429"/>
      <c r="E612" s="430"/>
      <c r="F612" s="429"/>
      <c r="G612" s="429"/>
      <c r="H612" s="430"/>
      <c r="I612" s="429"/>
      <c r="J612" s="429"/>
      <c r="K612" s="429"/>
      <c r="L612" s="383"/>
      <c r="M612" s="383" t="s">
        <v>436</v>
      </c>
      <c r="N612" s="383" t="s">
        <v>340</v>
      </c>
      <c r="O612" s="383" t="s">
        <v>437</v>
      </c>
      <c r="P612" s="383" t="s">
        <v>970</v>
      </c>
      <c r="Q612" s="146"/>
      <c r="R612" s="431">
        <v>1123000</v>
      </c>
      <c r="S612" s="158">
        <v>0</v>
      </c>
      <c r="T612" s="158">
        <v>0</v>
      </c>
      <c r="U612" s="158">
        <v>0</v>
      </c>
      <c r="V612" s="158">
        <v>0</v>
      </c>
      <c r="W612" s="158">
        <v>0</v>
      </c>
      <c r="X612" s="158">
        <v>0</v>
      </c>
      <c r="Y612" s="158">
        <v>0</v>
      </c>
      <c r="Z612" s="158">
        <v>0</v>
      </c>
      <c r="AA612" s="432">
        <v>0</v>
      </c>
      <c r="AB612" s="432">
        <v>0</v>
      </c>
      <c r="AC612" s="432">
        <v>0</v>
      </c>
      <c r="AD612" s="432">
        <v>0</v>
      </c>
      <c r="AE612" s="432">
        <v>0</v>
      </c>
      <c r="AF612" s="432">
        <v>0</v>
      </c>
      <c r="AG612" s="432">
        <v>0</v>
      </c>
      <c r="AH612" s="432">
        <v>0</v>
      </c>
      <c r="AI612" s="158">
        <v>80740</v>
      </c>
      <c r="AJ612" s="158">
        <v>0</v>
      </c>
      <c r="AK612" s="158">
        <v>80740</v>
      </c>
      <c r="AL612" s="158">
        <v>80740</v>
      </c>
      <c r="AM612" s="158">
        <v>1029600</v>
      </c>
      <c r="AN612" s="158">
        <v>80740</v>
      </c>
      <c r="AO612" s="158">
        <v>80740</v>
      </c>
      <c r="AP612" s="158">
        <v>80000</v>
      </c>
      <c r="AQ612" s="432">
        <v>0</v>
      </c>
      <c r="AR612" s="432">
        <v>0</v>
      </c>
      <c r="AS612" s="432">
        <v>0</v>
      </c>
      <c r="AT612" s="432">
        <v>0</v>
      </c>
      <c r="AU612" s="432">
        <v>0</v>
      </c>
      <c r="AV612" s="432">
        <v>0</v>
      </c>
      <c r="AW612" s="432">
        <v>0</v>
      </c>
      <c r="AX612" s="432">
        <v>0</v>
      </c>
      <c r="AY612" s="158">
        <v>1043280</v>
      </c>
      <c r="AZ612" s="158">
        <v>0</v>
      </c>
      <c r="BA612" s="158">
        <v>1043280</v>
      </c>
      <c r="BB612" s="158">
        <v>1043280</v>
      </c>
      <c r="BC612" s="158">
        <v>1043280</v>
      </c>
      <c r="BD612" s="158">
        <v>1043280</v>
      </c>
      <c r="BE612" s="158">
        <v>1043280</v>
      </c>
      <c r="BF612" s="160">
        <v>1043000</v>
      </c>
      <c r="BG612" s="383">
        <v>2023</v>
      </c>
      <c r="BH612" s="383">
        <v>3</v>
      </c>
      <c r="BI612" s="383">
        <v>9</v>
      </c>
      <c r="BK612" s="147" t="str">
        <f>IF(R612=SUM(Z612,AH612,AP612,AX612,BF612),"○","×")</f>
        <v>○</v>
      </c>
    </row>
    <row r="613" spans="1:63" x14ac:dyDescent="0.2">
      <c r="A613" s="428">
        <v>1828</v>
      </c>
      <c r="B613" s="429"/>
      <c r="C613" s="430"/>
      <c r="D613" s="429"/>
      <c r="E613" s="430"/>
      <c r="F613" s="429"/>
      <c r="G613" s="429"/>
      <c r="H613" s="430"/>
      <c r="I613" s="429"/>
      <c r="J613" s="429"/>
      <c r="K613" s="429"/>
      <c r="L613" s="383"/>
      <c r="M613" s="383" t="s">
        <v>598</v>
      </c>
      <c r="N613" s="383" t="s">
        <v>377</v>
      </c>
      <c r="O613" s="383" t="s">
        <v>599</v>
      </c>
      <c r="P613" s="383" t="s">
        <v>970</v>
      </c>
      <c r="Q613" s="383"/>
      <c r="R613" s="431">
        <v>154000</v>
      </c>
      <c r="S613" s="158">
        <v>0</v>
      </c>
      <c r="T613" s="158">
        <v>0</v>
      </c>
      <c r="U613" s="158">
        <v>0</v>
      </c>
      <c r="V613" s="158">
        <v>0</v>
      </c>
      <c r="W613" s="158">
        <v>0</v>
      </c>
      <c r="X613" s="158">
        <v>0</v>
      </c>
      <c r="Y613" s="158">
        <v>0</v>
      </c>
      <c r="Z613" s="158">
        <v>0</v>
      </c>
      <c r="AA613" s="432">
        <v>0</v>
      </c>
      <c r="AB613" s="432">
        <v>0</v>
      </c>
      <c r="AC613" s="432">
        <v>0</v>
      </c>
      <c r="AD613" s="432">
        <v>0</v>
      </c>
      <c r="AE613" s="432">
        <v>0</v>
      </c>
      <c r="AF613" s="432">
        <v>0</v>
      </c>
      <c r="AG613" s="432">
        <v>0</v>
      </c>
      <c r="AH613" s="432">
        <v>0</v>
      </c>
      <c r="AI613" s="158">
        <v>154021</v>
      </c>
      <c r="AJ613" s="158">
        <v>0</v>
      </c>
      <c r="AK613" s="158">
        <v>154021</v>
      </c>
      <c r="AL613" s="158">
        <v>154021</v>
      </c>
      <c r="AM613" s="158">
        <v>381600</v>
      </c>
      <c r="AN613" s="158">
        <v>154021</v>
      </c>
      <c r="AO613" s="158">
        <v>154021</v>
      </c>
      <c r="AP613" s="158">
        <v>154000</v>
      </c>
      <c r="AQ613" s="432">
        <v>0</v>
      </c>
      <c r="AR613" s="432">
        <v>0</v>
      </c>
      <c r="AS613" s="432">
        <v>0</v>
      </c>
      <c r="AT613" s="432">
        <v>0</v>
      </c>
      <c r="AU613" s="432">
        <v>0</v>
      </c>
      <c r="AV613" s="432">
        <v>0</v>
      </c>
      <c r="AW613" s="432">
        <v>0</v>
      </c>
      <c r="AX613" s="432">
        <v>0</v>
      </c>
      <c r="AY613" s="158">
        <v>0</v>
      </c>
      <c r="AZ613" s="158">
        <v>0</v>
      </c>
      <c r="BA613" s="158">
        <v>0</v>
      </c>
      <c r="BB613" s="158">
        <v>0</v>
      </c>
      <c r="BC613" s="158">
        <v>0</v>
      </c>
      <c r="BD613" s="158">
        <v>0</v>
      </c>
      <c r="BE613" s="158">
        <v>0</v>
      </c>
      <c r="BF613" s="160">
        <v>0</v>
      </c>
      <c r="BG613" s="383">
        <v>2023</v>
      </c>
      <c r="BH613" s="383">
        <v>3</v>
      </c>
      <c r="BI613" s="383">
        <v>9</v>
      </c>
      <c r="BK613" s="147" t="str">
        <f>IF(R613=SUM(Z613,AH613,AP613,AX613,BF613),"○","×")</f>
        <v>○</v>
      </c>
    </row>
    <row r="614" spans="1:63" x14ac:dyDescent="0.2">
      <c r="A614" s="428">
        <v>1830</v>
      </c>
      <c r="B614" s="429"/>
      <c r="C614" s="430"/>
      <c r="D614" s="429"/>
      <c r="E614" s="430"/>
      <c r="F614" s="429"/>
      <c r="G614" s="429"/>
      <c r="H614" s="430"/>
      <c r="I614" s="429"/>
      <c r="J614" s="429"/>
      <c r="K614" s="429"/>
      <c r="L614" s="383"/>
      <c r="M614" s="383" t="s">
        <v>953</v>
      </c>
      <c r="N614" s="383" t="s">
        <v>326</v>
      </c>
      <c r="O614" s="383" t="s">
        <v>836</v>
      </c>
      <c r="P614" s="383" t="s">
        <v>970</v>
      </c>
      <c r="Q614" s="383"/>
      <c r="R614" s="431">
        <v>99000</v>
      </c>
      <c r="S614" s="158">
        <v>0</v>
      </c>
      <c r="T614" s="158">
        <v>0</v>
      </c>
      <c r="U614" s="158">
        <v>0</v>
      </c>
      <c r="V614" s="158">
        <v>0</v>
      </c>
      <c r="W614" s="158">
        <v>0</v>
      </c>
      <c r="X614" s="158">
        <v>0</v>
      </c>
      <c r="Y614" s="158">
        <v>0</v>
      </c>
      <c r="Z614" s="158">
        <v>0</v>
      </c>
      <c r="AA614" s="432">
        <v>0</v>
      </c>
      <c r="AB614" s="432">
        <v>0</v>
      </c>
      <c r="AC614" s="432">
        <v>0</v>
      </c>
      <c r="AD614" s="432">
        <v>0</v>
      </c>
      <c r="AE614" s="432">
        <v>0</v>
      </c>
      <c r="AF614" s="432">
        <v>0</v>
      </c>
      <c r="AG614" s="432">
        <v>0</v>
      </c>
      <c r="AH614" s="432">
        <v>0</v>
      </c>
      <c r="AI614" s="158">
        <v>99440</v>
      </c>
      <c r="AJ614" s="158">
        <v>0</v>
      </c>
      <c r="AK614" s="158">
        <v>99440</v>
      </c>
      <c r="AL614" s="158">
        <v>99440</v>
      </c>
      <c r="AM614" s="158">
        <v>5184000</v>
      </c>
      <c r="AN614" s="158">
        <v>99440</v>
      </c>
      <c r="AO614" s="158">
        <v>99440</v>
      </c>
      <c r="AP614" s="158">
        <v>99000</v>
      </c>
      <c r="AQ614" s="432">
        <v>0</v>
      </c>
      <c r="AR614" s="432">
        <v>0</v>
      </c>
      <c r="AS614" s="432">
        <v>0</v>
      </c>
      <c r="AT614" s="432">
        <v>0</v>
      </c>
      <c r="AU614" s="432">
        <v>0</v>
      </c>
      <c r="AV614" s="432">
        <v>0</v>
      </c>
      <c r="AW614" s="432">
        <v>0</v>
      </c>
      <c r="AX614" s="432">
        <v>0</v>
      </c>
      <c r="AY614" s="158">
        <v>0</v>
      </c>
      <c r="AZ614" s="158">
        <v>0</v>
      </c>
      <c r="BA614" s="158">
        <v>0</v>
      </c>
      <c r="BB614" s="158">
        <v>0</v>
      </c>
      <c r="BC614" s="158">
        <v>0</v>
      </c>
      <c r="BD614" s="158">
        <v>0</v>
      </c>
      <c r="BE614" s="158">
        <v>0</v>
      </c>
      <c r="BF614" s="160">
        <v>0</v>
      </c>
      <c r="BG614" s="383">
        <v>2023</v>
      </c>
      <c r="BH614" s="383">
        <v>3</v>
      </c>
      <c r="BI614" s="383">
        <v>9</v>
      </c>
      <c r="BK614" s="147" t="str">
        <f>IF(R614=SUM(Z614,AH614,AP614,AX614,BF614),"○","×")</f>
        <v>○</v>
      </c>
    </row>
    <row r="615" spans="1:63" x14ac:dyDescent="0.2">
      <c r="A615" s="428">
        <v>1831</v>
      </c>
      <c r="B615" s="429"/>
      <c r="C615" s="430"/>
      <c r="D615" s="429"/>
      <c r="E615" s="430"/>
      <c r="F615" s="429"/>
      <c r="G615" s="429"/>
      <c r="H615" s="430"/>
      <c r="I615" s="429"/>
      <c r="J615" s="429"/>
      <c r="K615" s="429"/>
      <c r="L615" s="383"/>
      <c r="M615" s="383" t="s">
        <v>526</v>
      </c>
      <c r="N615" s="383" t="s">
        <v>329</v>
      </c>
      <c r="O615" s="383" t="s">
        <v>506</v>
      </c>
      <c r="P615" s="383" t="s">
        <v>970</v>
      </c>
      <c r="Q615" s="383"/>
      <c r="R615" s="431">
        <v>431000</v>
      </c>
      <c r="S615" s="158">
        <v>0</v>
      </c>
      <c r="T615" s="158">
        <v>0</v>
      </c>
      <c r="U615" s="158">
        <v>0</v>
      </c>
      <c r="V615" s="158">
        <v>0</v>
      </c>
      <c r="W615" s="158">
        <v>0</v>
      </c>
      <c r="X615" s="158">
        <v>0</v>
      </c>
      <c r="Y615" s="158">
        <v>0</v>
      </c>
      <c r="Z615" s="158">
        <v>0</v>
      </c>
      <c r="AA615" s="432">
        <v>0</v>
      </c>
      <c r="AB615" s="432">
        <v>0</v>
      </c>
      <c r="AC615" s="432">
        <v>0</v>
      </c>
      <c r="AD615" s="432">
        <v>0</v>
      </c>
      <c r="AE615" s="432">
        <v>0</v>
      </c>
      <c r="AF615" s="432">
        <v>0</v>
      </c>
      <c r="AG615" s="432">
        <v>0</v>
      </c>
      <c r="AH615" s="432">
        <v>0</v>
      </c>
      <c r="AI615" s="158">
        <v>382800</v>
      </c>
      <c r="AJ615" s="158">
        <v>0</v>
      </c>
      <c r="AK615" s="158">
        <v>382800</v>
      </c>
      <c r="AL615" s="158">
        <v>382800</v>
      </c>
      <c r="AM615" s="158">
        <v>2116800</v>
      </c>
      <c r="AN615" s="158">
        <v>382800</v>
      </c>
      <c r="AO615" s="158">
        <v>382800</v>
      </c>
      <c r="AP615" s="158">
        <v>382000</v>
      </c>
      <c r="AQ615" s="432">
        <v>49500</v>
      </c>
      <c r="AR615" s="432">
        <v>0</v>
      </c>
      <c r="AS615" s="432">
        <v>49500</v>
      </c>
      <c r="AT615" s="432">
        <v>49500</v>
      </c>
      <c r="AU615" s="432">
        <v>51400</v>
      </c>
      <c r="AV615" s="432">
        <v>49500</v>
      </c>
      <c r="AW615" s="432">
        <v>49500</v>
      </c>
      <c r="AX615" s="432">
        <v>49000</v>
      </c>
      <c r="AY615" s="158">
        <v>0</v>
      </c>
      <c r="AZ615" s="158">
        <v>0</v>
      </c>
      <c r="BA615" s="158">
        <v>0</v>
      </c>
      <c r="BB615" s="158">
        <v>0</v>
      </c>
      <c r="BC615" s="158">
        <v>0</v>
      </c>
      <c r="BD615" s="158">
        <v>0</v>
      </c>
      <c r="BE615" s="158">
        <v>0</v>
      </c>
      <c r="BF615" s="160">
        <v>0</v>
      </c>
      <c r="BG615" s="383">
        <v>2023</v>
      </c>
      <c r="BH615" s="383">
        <v>3</v>
      </c>
      <c r="BI615" s="383">
        <v>9</v>
      </c>
      <c r="BK615" s="147" t="str">
        <f>IF(R615=SUM(Z615,AH615,AP615,AX615,BF615),"○","×")</f>
        <v>○</v>
      </c>
    </row>
    <row r="616" spans="1:63" x14ac:dyDescent="0.2">
      <c r="A616" s="428">
        <v>1832</v>
      </c>
      <c r="B616" s="429"/>
      <c r="C616" s="430"/>
      <c r="D616" s="429"/>
      <c r="E616" s="430"/>
      <c r="F616" s="429"/>
      <c r="G616" s="429"/>
      <c r="H616" s="430"/>
      <c r="I616" s="429"/>
      <c r="J616" s="429"/>
      <c r="K616" s="429"/>
      <c r="L616" s="383"/>
      <c r="M616" s="383" t="s">
        <v>954</v>
      </c>
      <c r="N616" s="383" t="s">
        <v>447</v>
      </c>
      <c r="O616" s="383" t="s">
        <v>955</v>
      </c>
      <c r="P616" s="383" t="s">
        <v>970</v>
      </c>
      <c r="Q616" s="383"/>
      <c r="R616" s="431">
        <v>53000</v>
      </c>
      <c r="S616" s="158">
        <v>0</v>
      </c>
      <c r="T616" s="158">
        <v>0</v>
      </c>
      <c r="U616" s="158">
        <v>0</v>
      </c>
      <c r="V616" s="158">
        <v>0</v>
      </c>
      <c r="W616" s="158">
        <v>0</v>
      </c>
      <c r="X616" s="158">
        <v>0</v>
      </c>
      <c r="Y616" s="158">
        <v>0</v>
      </c>
      <c r="Z616" s="158">
        <v>0</v>
      </c>
      <c r="AA616" s="432">
        <v>0</v>
      </c>
      <c r="AB616" s="432">
        <v>0</v>
      </c>
      <c r="AC616" s="432">
        <v>0</v>
      </c>
      <c r="AD616" s="432">
        <v>0</v>
      </c>
      <c r="AE616" s="432">
        <v>0</v>
      </c>
      <c r="AF616" s="432">
        <v>0</v>
      </c>
      <c r="AG616" s="432">
        <v>0</v>
      </c>
      <c r="AH616" s="432">
        <v>0</v>
      </c>
      <c r="AI616" s="158">
        <v>53900</v>
      </c>
      <c r="AJ616" s="158">
        <v>0</v>
      </c>
      <c r="AK616" s="158">
        <v>53900</v>
      </c>
      <c r="AL616" s="158">
        <v>53900</v>
      </c>
      <c r="AM616" s="158">
        <v>2016000</v>
      </c>
      <c r="AN616" s="158">
        <v>53900</v>
      </c>
      <c r="AO616" s="158">
        <v>53900</v>
      </c>
      <c r="AP616" s="158">
        <v>53000</v>
      </c>
      <c r="AQ616" s="432">
        <v>0</v>
      </c>
      <c r="AR616" s="432">
        <v>0</v>
      </c>
      <c r="AS616" s="432">
        <v>0</v>
      </c>
      <c r="AT616" s="432">
        <v>0</v>
      </c>
      <c r="AU616" s="432">
        <v>0</v>
      </c>
      <c r="AV616" s="432">
        <v>0</v>
      </c>
      <c r="AW616" s="432">
        <v>0</v>
      </c>
      <c r="AX616" s="432">
        <v>0</v>
      </c>
      <c r="AY616" s="158">
        <v>0</v>
      </c>
      <c r="AZ616" s="158">
        <v>0</v>
      </c>
      <c r="BA616" s="158">
        <v>0</v>
      </c>
      <c r="BB616" s="158">
        <v>0</v>
      </c>
      <c r="BC616" s="158">
        <v>0</v>
      </c>
      <c r="BD616" s="158">
        <v>0</v>
      </c>
      <c r="BE616" s="158">
        <v>0</v>
      </c>
      <c r="BF616" s="160">
        <v>0</v>
      </c>
      <c r="BG616" s="383">
        <v>2023</v>
      </c>
      <c r="BH616" s="383">
        <v>3</v>
      </c>
      <c r="BI616" s="383">
        <v>9</v>
      </c>
      <c r="BK616" s="147" t="str">
        <f>IF(R616=SUM(Z616,AH616,AP616,AX616,BF616),"○","×")</f>
        <v>○</v>
      </c>
    </row>
    <row r="617" spans="1:63" x14ac:dyDescent="0.2">
      <c r="A617" s="428">
        <v>1835</v>
      </c>
      <c r="B617" s="429"/>
      <c r="C617" s="430"/>
      <c r="D617" s="429"/>
      <c r="E617" s="430"/>
      <c r="F617" s="429"/>
      <c r="G617" s="429"/>
      <c r="H617" s="430"/>
      <c r="I617" s="429"/>
      <c r="J617" s="429"/>
      <c r="K617" s="429"/>
      <c r="L617" s="383"/>
      <c r="M617" s="383">
        <v>1554044</v>
      </c>
      <c r="N617" s="383" t="s">
        <v>447</v>
      </c>
      <c r="O617" s="383" t="s">
        <v>725</v>
      </c>
      <c r="P617" s="383" t="s">
        <v>970</v>
      </c>
      <c r="Q617" s="383"/>
      <c r="R617" s="431">
        <v>413000</v>
      </c>
      <c r="S617" s="158">
        <v>0</v>
      </c>
      <c r="T617" s="158">
        <v>0</v>
      </c>
      <c r="U617" s="158">
        <v>0</v>
      </c>
      <c r="V617" s="158">
        <v>0</v>
      </c>
      <c r="W617" s="158">
        <v>0</v>
      </c>
      <c r="X617" s="158">
        <v>0</v>
      </c>
      <c r="Y617" s="158">
        <v>0</v>
      </c>
      <c r="Z617" s="158">
        <v>0</v>
      </c>
      <c r="AA617" s="432">
        <v>0</v>
      </c>
      <c r="AB617" s="432">
        <v>0</v>
      </c>
      <c r="AC617" s="432">
        <v>0</v>
      </c>
      <c r="AD617" s="432">
        <v>0</v>
      </c>
      <c r="AE617" s="432">
        <v>0</v>
      </c>
      <c r="AF617" s="432">
        <v>0</v>
      </c>
      <c r="AG617" s="432">
        <v>0</v>
      </c>
      <c r="AH617" s="432">
        <v>0</v>
      </c>
      <c r="AI617" s="158">
        <v>413760</v>
      </c>
      <c r="AJ617" s="158">
        <v>0</v>
      </c>
      <c r="AK617" s="158">
        <v>413760</v>
      </c>
      <c r="AL617" s="158">
        <v>413760</v>
      </c>
      <c r="AM617" s="158">
        <v>1566000</v>
      </c>
      <c r="AN617" s="158">
        <v>413760</v>
      </c>
      <c r="AO617" s="158">
        <v>413760</v>
      </c>
      <c r="AP617" s="158">
        <v>413000</v>
      </c>
      <c r="AQ617" s="432">
        <v>0</v>
      </c>
      <c r="AR617" s="432">
        <v>0</v>
      </c>
      <c r="AS617" s="432">
        <v>0</v>
      </c>
      <c r="AT617" s="432">
        <v>0</v>
      </c>
      <c r="AU617" s="432">
        <v>0</v>
      </c>
      <c r="AV617" s="432">
        <v>0</v>
      </c>
      <c r="AW617" s="432">
        <v>0</v>
      </c>
      <c r="AX617" s="432">
        <v>0</v>
      </c>
      <c r="AY617" s="158">
        <v>0</v>
      </c>
      <c r="AZ617" s="158">
        <v>0</v>
      </c>
      <c r="BA617" s="158">
        <v>0</v>
      </c>
      <c r="BB617" s="158">
        <v>0</v>
      </c>
      <c r="BC617" s="158">
        <v>0</v>
      </c>
      <c r="BD617" s="158">
        <v>0</v>
      </c>
      <c r="BE617" s="158">
        <v>0</v>
      </c>
      <c r="BF617" s="160">
        <v>0</v>
      </c>
      <c r="BG617" s="383">
        <v>2023</v>
      </c>
      <c r="BH617" s="383">
        <v>3</v>
      </c>
      <c r="BI617" s="383">
        <v>9</v>
      </c>
      <c r="BK617" s="147" t="str">
        <f>IF(R617=SUM(Z617,AH617,AP617,AX617,BF617),"○","×")</f>
        <v>○</v>
      </c>
    </row>
    <row r="618" spans="1:63" x14ac:dyDescent="0.2">
      <c r="A618" s="428">
        <v>1838</v>
      </c>
      <c r="B618" s="429"/>
      <c r="C618" s="430"/>
      <c r="D618" s="429"/>
      <c r="E618" s="430"/>
      <c r="F618" s="429"/>
      <c r="G618" s="429"/>
      <c r="H618" s="430"/>
      <c r="I618" s="429"/>
      <c r="J618" s="429"/>
      <c r="K618" s="429"/>
      <c r="L618" s="383"/>
      <c r="M618" s="383" t="s">
        <v>763</v>
      </c>
      <c r="N618" s="383" t="s">
        <v>384</v>
      </c>
      <c r="O618" s="383" t="s">
        <v>481</v>
      </c>
      <c r="P618" s="383" t="s">
        <v>970</v>
      </c>
      <c r="Q618" s="383"/>
      <c r="R618" s="431">
        <v>315000</v>
      </c>
      <c r="S618" s="158">
        <v>0</v>
      </c>
      <c r="T618" s="158">
        <v>0</v>
      </c>
      <c r="U618" s="158">
        <v>0</v>
      </c>
      <c r="V618" s="158">
        <v>0</v>
      </c>
      <c r="W618" s="158">
        <v>0</v>
      </c>
      <c r="X618" s="158">
        <v>0</v>
      </c>
      <c r="Y618" s="158">
        <v>0</v>
      </c>
      <c r="Z618" s="158">
        <v>0</v>
      </c>
      <c r="AA618" s="432">
        <v>0</v>
      </c>
      <c r="AB618" s="432">
        <v>0</v>
      </c>
      <c r="AC618" s="432">
        <v>0</v>
      </c>
      <c r="AD618" s="432">
        <v>0</v>
      </c>
      <c r="AE618" s="432">
        <v>0</v>
      </c>
      <c r="AF618" s="432">
        <v>0</v>
      </c>
      <c r="AG618" s="432">
        <v>0</v>
      </c>
      <c r="AH618" s="432">
        <v>0</v>
      </c>
      <c r="AI618" s="158">
        <v>315150</v>
      </c>
      <c r="AJ618" s="158">
        <v>0</v>
      </c>
      <c r="AK618" s="158">
        <v>315150</v>
      </c>
      <c r="AL618" s="158">
        <v>315150</v>
      </c>
      <c r="AM618" s="158">
        <v>2880000</v>
      </c>
      <c r="AN618" s="158">
        <v>315150</v>
      </c>
      <c r="AO618" s="158">
        <v>315150</v>
      </c>
      <c r="AP618" s="158">
        <v>315000</v>
      </c>
      <c r="AQ618" s="432">
        <v>0</v>
      </c>
      <c r="AR618" s="432">
        <v>0</v>
      </c>
      <c r="AS618" s="432">
        <v>0</v>
      </c>
      <c r="AT618" s="432">
        <v>0</v>
      </c>
      <c r="AU618" s="432">
        <v>0</v>
      </c>
      <c r="AV618" s="432">
        <v>0</v>
      </c>
      <c r="AW618" s="432">
        <v>0</v>
      </c>
      <c r="AX618" s="432">
        <v>0</v>
      </c>
      <c r="AY618" s="158">
        <v>0</v>
      </c>
      <c r="AZ618" s="158">
        <v>0</v>
      </c>
      <c r="BA618" s="158">
        <v>0</v>
      </c>
      <c r="BB618" s="158">
        <v>0</v>
      </c>
      <c r="BC618" s="158">
        <v>0</v>
      </c>
      <c r="BD618" s="158">
        <v>0</v>
      </c>
      <c r="BE618" s="158">
        <v>0</v>
      </c>
      <c r="BF618" s="160">
        <v>0</v>
      </c>
      <c r="BG618" s="383">
        <v>2023</v>
      </c>
      <c r="BH618" s="383">
        <v>3</v>
      </c>
      <c r="BI618" s="383">
        <v>9</v>
      </c>
      <c r="BK618" s="147" t="str">
        <f>IF(R618=SUM(Z618,AH618,AP618,AX618,BF618),"○","×")</f>
        <v>○</v>
      </c>
    </row>
    <row r="619" spans="1:63" x14ac:dyDescent="0.2">
      <c r="A619" s="428">
        <v>1839</v>
      </c>
      <c r="B619" s="429"/>
      <c r="C619" s="430"/>
      <c r="D619" s="429"/>
      <c r="E619" s="430"/>
      <c r="F619" s="429"/>
      <c r="G619" s="429"/>
      <c r="H619" s="430"/>
      <c r="I619" s="429"/>
      <c r="J619" s="429"/>
      <c r="K619" s="429"/>
      <c r="L619" s="383"/>
      <c r="M619" s="383" t="s">
        <v>950</v>
      </c>
      <c r="N619" s="383" t="s">
        <v>356</v>
      </c>
      <c r="O619" s="383" t="s">
        <v>951</v>
      </c>
      <c r="P619" s="383" t="s">
        <v>970</v>
      </c>
      <c r="Q619" s="383"/>
      <c r="R619" s="431">
        <v>1317000</v>
      </c>
      <c r="S619" s="158">
        <v>0</v>
      </c>
      <c r="T619" s="158">
        <v>0</v>
      </c>
      <c r="U619" s="158">
        <v>0</v>
      </c>
      <c r="V619" s="158">
        <v>0</v>
      </c>
      <c r="W619" s="158">
        <v>0</v>
      </c>
      <c r="X619" s="158">
        <v>0</v>
      </c>
      <c r="Y619" s="158">
        <v>0</v>
      </c>
      <c r="Z619" s="158">
        <v>0</v>
      </c>
      <c r="AA619" s="432">
        <v>0</v>
      </c>
      <c r="AB619" s="432">
        <v>0</v>
      </c>
      <c r="AC619" s="432">
        <v>0</v>
      </c>
      <c r="AD619" s="432">
        <v>0</v>
      </c>
      <c r="AE619" s="432">
        <v>0</v>
      </c>
      <c r="AF619" s="432">
        <v>0</v>
      </c>
      <c r="AG619" s="432">
        <v>0</v>
      </c>
      <c r="AH619" s="432">
        <v>0</v>
      </c>
      <c r="AI619" s="158">
        <v>250519</v>
      </c>
      <c r="AJ619" s="158">
        <v>0</v>
      </c>
      <c r="AK619" s="158">
        <v>250519</v>
      </c>
      <c r="AL619" s="158">
        <v>250519</v>
      </c>
      <c r="AM619" s="158">
        <v>2592000</v>
      </c>
      <c r="AN619" s="158">
        <v>250519</v>
      </c>
      <c r="AO619" s="158">
        <v>250519</v>
      </c>
      <c r="AP619" s="158">
        <v>250000</v>
      </c>
      <c r="AQ619" s="432">
        <v>0</v>
      </c>
      <c r="AR619" s="432">
        <v>0</v>
      </c>
      <c r="AS619" s="432">
        <v>0</v>
      </c>
      <c r="AT619" s="432">
        <v>0</v>
      </c>
      <c r="AU619" s="432">
        <v>0</v>
      </c>
      <c r="AV619" s="432">
        <v>0</v>
      </c>
      <c r="AW619" s="432">
        <v>0</v>
      </c>
      <c r="AX619" s="432">
        <v>0</v>
      </c>
      <c r="AY619" s="158">
        <v>1067000</v>
      </c>
      <c r="AZ619" s="158">
        <v>0</v>
      </c>
      <c r="BA619" s="158">
        <v>1067000</v>
      </c>
      <c r="BB619" s="158">
        <v>1067000</v>
      </c>
      <c r="BC619" s="158">
        <v>1067000</v>
      </c>
      <c r="BD619" s="158">
        <v>1067000</v>
      </c>
      <c r="BE619" s="158">
        <v>1067000</v>
      </c>
      <c r="BF619" s="160">
        <v>1067000</v>
      </c>
      <c r="BG619" s="383">
        <v>2023</v>
      </c>
      <c r="BH619" s="383">
        <v>3</v>
      </c>
      <c r="BI619" s="383">
        <v>9</v>
      </c>
      <c r="BK619" s="147" t="str">
        <f>IF(R619=SUM(Z619,AH619,AP619,AX619,BF619),"○","×")</f>
        <v>○</v>
      </c>
    </row>
    <row r="620" spans="1:63" x14ac:dyDescent="0.2">
      <c r="A620" s="428">
        <v>1840</v>
      </c>
      <c r="B620" s="429"/>
      <c r="C620" s="430"/>
      <c r="D620" s="429"/>
      <c r="E620" s="430"/>
      <c r="F620" s="429"/>
      <c r="G620" s="429"/>
      <c r="H620" s="430"/>
      <c r="I620" s="429"/>
      <c r="J620" s="429"/>
      <c r="K620" s="429"/>
      <c r="L620" s="383"/>
      <c r="M620" s="383" t="s">
        <v>649</v>
      </c>
      <c r="N620" s="383" t="s">
        <v>329</v>
      </c>
      <c r="O620" s="383" t="s">
        <v>650</v>
      </c>
      <c r="P620" s="383" t="s">
        <v>970</v>
      </c>
      <c r="Q620" s="383"/>
      <c r="R620" s="431">
        <v>758000</v>
      </c>
      <c r="S620" s="158">
        <v>0</v>
      </c>
      <c r="T620" s="158">
        <v>0</v>
      </c>
      <c r="U620" s="158">
        <v>0</v>
      </c>
      <c r="V620" s="158">
        <v>0</v>
      </c>
      <c r="W620" s="158">
        <v>0</v>
      </c>
      <c r="X620" s="158">
        <v>0</v>
      </c>
      <c r="Y620" s="158">
        <v>0</v>
      </c>
      <c r="Z620" s="158">
        <v>0</v>
      </c>
      <c r="AA620" s="432">
        <v>0</v>
      </c>
      <c r="AB620" s="432">
        <v>0</v>
      </c>
      <c r="AC620" s="432">
        <v>0</v>
      </c>
      <c r="AD620" s="432">
        <v>0</v>
      </c>
      <c r="AE620" s="432">
        <v>0</v>
      </c>
      <c r="AF620" s="432">
        <v>0</v>
      </c>
      <c r="AG620" s="432">
        <v>0</v>
      </c>
      <c r="AH620" s="432">
        <v>0</v>
      </c>
      <c r="AI620" s="158">
        <v>758798</v>
      </c>
      <c r="AJ620" s="158">
        <v>0</v>
      </c>
      <c r="AK620" s="158">
        <v>758798</v>
      </c>
      <c r="AL620" s="158">
        <v>758798</v>
      </c>
      <c r="AM620" s="158">
        <v>1044000</v>
      </c>
      <c r="AN620" s="158">
        <v>758798</v>
      </c>
      <c r="AO620" s="158">
        <v>758798</v>
      </c>
      <c r="AP620" s="158">
        <v>758000</v>
      </c>
      <c r="AQ620" s="432">
        <v>0</v>
      </c>
      <c r="AR620" s="432">
        <v>0</v>
      </c>
      <c r="AS620" s="432">
        <v>0</v>
      </c>
      <c r="AT620" s="432">
        <v>0</v>
      </c>
      <c r="AU620" s="432">
        <v>0</v>
      </c>
      <c r="AV620" s="432">
        <v>0</v>
      </c>
      <c r="AW620" s="432">
        <v>0</v>
      </c>
      <c r="AX620" s="432">
        <v>0</v>
      </c>
      <c r="AY620" s="158">
        <v>0</v>
      </c>
      <c r="AZ620" s="158">
        <v>0</v>
      </c>
      <c r="BA620" s="158">
        <v>0</v>
      </c>
      <c r="BB620" s="158">
        <v>0</v>
      </c>
      <c r="BC620" s="158">
        <v>0</v>
      </c>
      <c r="BD620" s="158">
        <v>0</v>
      </c>
      <c r="BE620" s="158">
        <v>0</v>
      </c>
      <c r="BF620" s="160">
        <v>0</v>
      </c>
      <c r="BG620" s="383">
        <v>2023</v>
      </c>
      <c r="BH620" s="383">
        <v>3</v>
      </c>
      <c r="BI620" s="383">
        <v>9</v>
      </c>
      <c r="BK620" s="147" t="str">
        <f>IF(R620=SUM(Z620,AH620,AP620,AX620,BF620),"○","×")</f>
        <v>○</v>
      </c>
    </row>
    <row r="621" spans="1:63" x14ac:dyDescent="0.2">
      <c r="A621" s="428">
        <v>1841</v>
      </c>
      <c r="B621" s="429"/>
      <c r="C621" s="430"/>
      <c r="D621" s="429"/>
      <c r="E621" s="430"/>
      <c r="F621" s="429"/>
      <c r="G621" s="429"/>
      <c r="H621" s="430"/>
      <c r="I621" s="429"/>
      <c r="J621" s="429"/>
      <c r="K621" s="429"/>
      <c r="L621" s="383"/>
      <c r="M621" s="383" t="s">
        <v>956</v>
      </c>
      <c r="N621" s="383" t="s">
        <v>408</v>
      </c>
      <c r="O621" s="383" t="s">
        <v>617</v>
      </c>
      <c r="P621" s="383" t="s">
        <v>970</v>
      </c>
      <c r="Q621" s="383"/>
      <c r="R621" s="431">
        <v>970000</v>
      </c>
      <c r="S621" s="158">
        <v>0</v>
      </c>
      <c r="T621" s="158">
        <v>0</v>
      </c>
      <c r="U621" s="158">
        <v>0</v>
      </c>
      <c r="V621" s="158">
        <v>0</v>
      </c>
      <c r="W621" s="158">
        <v>0</v>
      </c>
      <c r="X621" s="158">
        <v>0</v>
      </c>
      <c r="Y621" s="158">
        <v>0</v>
      </c>
      <c r="Z621" s="158">
        <v>0</v>
      </c>
      <c r="AA621" s="432">
        <v>0</v>
      </c>
      <c r="AB621" s="432">
        <v>0</v>
      </c>
      <c r="AC621" s="432">
        <v>0</v>
      </c>
      <c r="AD621" s="432">
        <v>0</v>
      </c>
      <c r="AE621" s="432">
        <v>0</v>
      </c>
      <c r="AF621" s="432">
        <v>0</v>
      </c>
      <c r="AG621" s="432">
        <v>0</v>
      </c>
      <c r="AH621" s="432">
        <v>0</v>
      </c>
      <c r="AI621" s="158">
        <v>970580</v>
      </c>
      <c r="AJ621" s="158">
        <v>0</v>
      </c>
      <c r="AK621" s="158">
        <v>970580</v>
      </c>
      <c r="AL621" s="158">
        <v>970580</v>
      </c>
      <c r="AM621" s="158">
        <v>1317600</v>
      </c>
      <c r="AN621" s="158">
        <v>970580</v>
      </c>
      <c r="AO621" s="158">
        <v>970000</v>
      </c>
      <c r="AP621" s="158">
        <v>970000</v>
      </c>
      <c r="AQ621" s="432">
        <v>0</v>
      </c>
      <c r="AR621" s="432">
        <v>0</v>
      </c>
      <c r="AS621" s="432">
        <v>0</v>
      </c>
      <c r="AT621" s="432">
        <v>0</v>
      </c>
      <c r="AU621" s="432">
        <v>0</v>
      </c>
      <c r="AV621" s="432">
        <v>0</v>
      </c>
      <c r="AW621" s="432">
        <v>0</v>
      </c>
      <c r="AX621" s="432">
        <v>0</v>
      </c>
      <c r="AY621" s="158">
        <v>0</v>
      </c>
      <c r="AZ621" s="158">
        <v>0</v>
      </c>
      <c r="BA621" s="158">
        <v>0</v>
      </c>
      <c r="BB621" s="158">
        <v>0</v>
      </c>
      <c r="BC621" s="158">
        <v>0</v>
      </c>
      <c r="BD621" s="158">
        <v>0</v>
      </c>
      <c r="BE621" s="158">
        <v>0</v>
      </c>
      <c r="BF621" s="160">
        <v>0</v>
      </c>
      <c r="BG621" s="383">
        <v>2023</v>
      </c>
      <c r="BH621" s="383">
        <v>3</v>
      </c>
      <c r="BI621" s="383">
        <v>9</v>
      </c>
      <c r="BK621" s="147" t="str">
        <f>IF(R621=SUM(Z621,AH621,AP621,AX621,BF621),"○","×")</f>
        <v>○</v>
      </c>
    </row>
    <row r="622" spans="1:63" x14ac:dyDescent="0.2">
      <c r="A622" s="428">
        <v>1842</v>
      </c>
      <c r="B622" s="429"/>
      <c r="C622" s="430"/>
      <c r="D622" s="429"/>
      <c r="E622" s="430"/>
      <c r="F622" s="429"/>
      <c r="G622" s="429"/>
      <c r="H622" s="430"/>
      <c r="I622" s="429"/>
      <c r="J622" s="429"/>
      <c r="K622" s="429"/>
      <c r="L622" s="383"/>
      <c r="M622" s="383" t="s">
        <v>477</v>
      </c>
      <c r="N622" s="383" t="s">
        <v>353</v>
      </c>
      <c r="O622" s="383" t="s">
        <v>378</v>
      </c>
      <c r="P622" s="383" t="s">
        <v>970</v>
      </c>
      <c r="Q622" s="383"/>
      <c r="R622" s="431">
        <v>2369000</v>
      </c>
      <c r="S622" s="158">
        <v>0</v>
      </c>
      <c r="T622" s="158">
        <v>0</v>
      </c>
      <c r="U622" s="158">
        <v>0</v>
      </c>
      <c r="V622" s="158">
        <v>0</v>
      </c>
      <c r="W622" s="158">
        <v>0</v>
      </c>
      <c r="X622" s="158">
        <v>0</v>
      </c>
      <c r="Y622" s="158">
        <v>0</v>
      </c>
      <c r="Z622" s="158">
        <v>0</v>
      </c>
      <c r="AA622" s="432">
        <v>0</v>
      </c>
      <c r="AB622" s="432">
        <v>0</v>
      </c>
      <c r="AC622" s="432">
        <v>0</v>
      </c>
      <c r="AD622" s="432">
        <v>0</v>
      </c>
      <c r="AE622" s="432">
        <v>0</v>
      </c>
      <c r="AF622" s="432">
        <v>0</v>
      </c>
      <c r="AG622" s="432">
        <v>0</v>
      </c>
      <c r="AH622" s="432">
        <v>0</v>
      </c>
      <c r="AI622" s="158">
        <v>2369308</v>
      </c>
      <c r="AJ622" s="158">
        <v>0</v>
      </c>
      <c r="AK622" s="158">
        <v>2369308</v>
      </c>
      <c r="AL622" s="158">
        <v>2369308</v>
      </c>
      <c r="AM622" s="158">
        <v>3456000</v>
      </c>
      <c r="AN622" s="158">
        <v>2369308</v>
      </c>
      <c r="AO622" s="158">
        <v>2369308</v>
      </c>
      <c r="AP622" s="158">
        <v>2369000</v>
      </c>
      <c r="AQ622" s="432">
        <v>0</v>
      </c>
      <c r="AR622" s="432">
        <v>0</v>
      </c>
      <c r="AS622" s="432">
        <v>0</v>
      </c>
      <c r="AT622" s="432">
        <v>0</v>
      </c>
      <c r="AU622" s="432">
        <v>0</v>
      </c>
      <c r="AV622" s="432">
        <v>0</v>
      </c>
      <c r="AW622" s="432">
        <v>0</v>
      </c>
      <c r="AX622" s="432">
        <v>0</v>
      </c>
      <c r="AY622" s="158">
        <v>0</v>
      </c>
      <c r="AZ622" s="158">
        <v>0</v>
      </c>
      <c r="BA622" s="158">
        <v>0</v>
      </c>
      <c r="BB622" s="158">
        <v>0</v>
      </c>
      <c r="BC622" s="158">
        <v>0</v>
      </c>
      <c r="BD622" s="158">
        <v>0</v>
      </c>
      <c r="BE622" s="158">
        <v>0</v>
      </c>
      <c r="BF622" s="160">
        <v>0</v>
      </c>
      <c r="BG622" s="383">
        <v>2023</v>
      </c>
      <c r="BH622" s="383">
        <v>3</v>
      </c>
      <c r="BI622" s="383">
        <v>9</v>
      </c>
      <c r="BK622" s="147" t="str">
        <f>IF(R622=SUM(Z622,AH622,AP622,AX622,BF622),"○","×")</f>
        <v>○</v>
      </c>
    </row>
    <row r="623" spans="1:63" x14ac:dyDescent="0.2">
      <c r="A623" s="428">
        <v>1843</v>
      </c>
      <c r="B623" s="429"/>
      <c r="C623" s="430"/>
      <c r="D623" s="429"/>
      <c r="E623" s="430"/>
      <c r="F623" s="429"/>
      <c r="G623" s="429"/>
      <c r="H623" s="430"/>
      <c r="I623" s="429"/>
      <c r="J623" s="429"/>
      <c r="K623" s="429"/>
      <c r="L623" s="383"/>
      <c r="M623" s="383" t="s">
        <v>623</v>
      </c>
      <c r="N623" s="383" t="s">
        <v>353</v>
      </c>
      <c r="O623" s="383" t="s">
        <v>395</v>
      </c>
      <c r="P623" s="383" t="s">
        <v>970</v>
      </c>
      <c r="Q623" s="383"/>
      <c r="R623" s="431">
        <v>760000</v>
      </c>
      <c r="S623" s="158">
        <v>0</v>
      </c>
      <c r="T623" s="158">
        <v>0</v>
      </c>
      <c r="U623" s="158">
        <v>0</v>
      </c>
      <c r="V623" s="158">
        <v>0</v>
      </c>
      <c r="W623" s="158">
        <v>0</v>
      </c>
      <c r="X623" s="158">
        <v>0</v>
      </c>
      <c r="Y623" s="158">
        <v>0</v>
      </c>
      <c r="Z623" s="158">
        <v>0</v>
      </c>
      <c r="AA623" s="432">
        <v>0</v>
      </c>
      <c r="AB623" s="432">
        <v>0</v>
      </c>
      <c r="AC623" s="432">
        <v>0</v>
      </c>
      <c r="AD623" s="432">
        <v>0</v>
      </c>
      <c r="AE623" s="432">
        <v>0</v>
      </c>
      <c r="AF623" s="432">
        <v>0</v>
      </c>
      <c r="AG623" s="432">
        <v>0</v>
      </c>
      <c r="AH623" s="432">
        <v>0</v>
      </c>
      <c r="AI623" s="158">
        <v>760470</v>
      </c>
      <c r="AJ623" s="158">
        <v>0</v>
      </c>
      <c r="AK623" s="158">
        <v>760470</v>
      </c>
      <c r="AL623" s="158">
        <v>760470</v>
      </c>
      <c r="AM623" s="158">
        <v>2628000</v>
      </c>
      <c r="AN623" s="158">
        <v>760470</v>
      </c>
      <c r="AO623" s="158">
        <v>760470</v>
      </c>
      <c r="AP623" s="158">
        <v>760000</v>
      </c>
      <c r="AQ623" s="432">
        <v>0</v>
      </c>
      <c r="AR623" s="432">
        <v>0</v>
      </c>
      <c r="AS623" s="432">
        <v>0</v>
      </c>
      <c r="AT623" s="432">
        <v>0</v>
      </c>
      <c r="AU623" s="432">
        <v>0</v>
      </c>
      <c r="AV623" s="432">
        <v>0</v>
      </c>
      <c r="AW623" s="432">
        <v>0</v>
      </c>
      <c r="AX623" s="432">
        <v>0</v>
      </c>
      <c r="AY623" s="158">
        <v>0</v>
      </c>
      <c r="AZ623" s="158">
        <v>0</v>
      </c>
      <c r="BA623" s="158">
        <v>0</v>
      </c>
      <c r="BB623" s="158">
        <v>0</v>
      </c>
      <c r="BC623" s="158">
        <v>0</v>
      </c>
      <c r="BD623" s="158">
        <v>0</v>
      </c>
      <c r="BE623" s="158">
        <v>0</v>
      </c>
      <c r="BF623" s="160">
        <v>0</v>
      </c>
      <c r="BG623" s="383">
        <v>2023</v>
      </c>
      <c r="BH623" s="383">
        <v>3</v>
      </c>
      <c r="BI623" s="383">
        <v>9</v>
      </c>
      <c r="BK623" s="147" t="str">
        <f>IF(R623=SUM(Z623,AH623,AP623,AX623,BF623),"○","×")</f>
        <v>○</v>
      </c>
    </row>
    <row r="624" spans="1:63" x14ac:dyDescent="0.2">
      <c r="A624" s="428">
        <v>1844</v>
      </c>
      <c r="B624" s="429"/>
      <c r="C624" s="430"/>
      <c r="D624" s="429"/>
      <c r="E624" s="430"/>
      <c r="F624" s="429"/>
      <c r="G624" s="429"/>
      <c r="H624" s="430"/>
      <c r="I624" s="429"/>
      <c r="J624" s="429"/>
      <c r="K624" s="429"/>
      <c r="L624" s="383"/>
      <c r="M624" s="383" t="s">
        <v>782</v>
      </c>
      <c r="N624" s="383" t="s">
        <v>329</v>
      </c>
      <c r="O624" s="383" t="s">
        <v>617</v>
      </c>
      <c r="P624" s="383" t="s">
        <v>970</v>
      </c>
      <c r="Q624" s="383"/>
      <c r="R624" s="431">
        <v>471000</v>
      </c>
      <c r="S624" s="158">
        <v>0</v>
      </c>
      <c r="T624" s="158">
        <v>0</v>
      </c>
      <c r="U624" s="158">
        <v>0</v>
      </c>
      <c r="V624" s="158">
        <v>0</v>
      </c>
      <c r="W624" s="158">
        <v>0</v>
      </c>
      <c r="X624" s="158">
        <v>0</v>
      </c>
      <c r="Y624" s="158">
        <v>0</v>
      </c>
      <c r="Z624" s="158">
        <v>0</v>
      </c>
      <c r="AA624" s="432">
        <v>0</v>
      </c>
      <c r="AB624" s="432">
        <v>0</v>
      </c>
      <c r="AC624" s="432">
        <v>0</v>
      </c>
      <c r="AD624" s="432">
        <v>0</v>
      </c>
      <c r="AE624" s="432">
        <v>0</v>
      </c>
      <c r="AF624" s="432">
        <v>0</v>
      </c>
      <c r="AG624" s="432">
        <v>0</v>
      </c>
      <c r="AH624" s="432">
        <v>0</v>
      </c>
      <c r="AI624" s="158">
        <v>471075</v>
      </c>
      <c r="AJ624" s="158">
        <v>0</v>
      </c>
      <c r="AK624" s="158">
        <v>471075</v>
      </c>
      <c r="AL624" s="158">
        <v>471075</v>
      </c>
      <c r="AM624" s="158">
        <v>1944000</v>
      </c>
      <c r="AN624" s="158">
        <v>471075</v>
      </c>
      <c r="AO624" s="158">
        <v>471075</v>
      </c>
      <c r="AP624" s="158">
        <v>471000</v>
      </c>
      <c r="AQ624" s="432">
        <v>0</v>
      </c>
      <c r="AR624" s="432">
        <v>0</v>
      </c>
      <c r="AS624" s="432">
        <v>0</v>
      </c>
      <c r="AT624" s="432">
        <v>0</v>
      </c>
      <c r="AU624" s="432">
        <v>0</v>
      </c>
      <c r="AV624" s="432">
        <v>0</v>
      </c>
      <c r="AW624" s="432">
        <v>0</v>
      </c>
      <c r="AX624" s="432">
        <v>0</v>
      </c>
      <c r="AY624" s="158">
        <v>0</v>
      </c>
      <c r="AZ624" s="158">
        <v>0</v>
      </c>
      <c r="BA624" s="158">
        <v>0</v>
      </c>
      <c r="BB624" s="158">
        <v>0</v>
      </c>
      <c r="BC624" s="158">
        <v>0</v>
      </c>
      <c r="BD624" s="158">
        <v>0</v>
      </c>
      <c r="BE624" s="158">
        <v>0</v>
      </c>
      <c r="BF624" s="160">
        <v>0</v>
      </c>
      <c r="BG624" s="383">
        <v>2023</v>
      </c>
      <c r="BH624" s="383">
        <v>3</v>
      </c>
      <c r="BI624" s="383">
        <v>9</v>
      </c>
      <c r="BK624" s="147" t="str">
        <f>IF(R624=SUM(Z624,AH624,AP624,AX624,BF624),"○","×")</f>
        <v>○</v>
      </c>
    </row>
    <row r="625" spans="1:63" x14ac:dyDescent="0.2">
      <c r="A625" s="428">
        <v>1845</v>
      </c>
      <c r="B625" s="429"/>
      <c r="C625" s="430"/>
      <c r="D625" s="429"/>
      <c r="E625" s="430"/>
      <c r="F625" s="429"/>
      <c r="G625" s="429"/>
      <c r="H625" s="430"/>
      <c r="I625" s="429"/>
      <c r="J625" s="429"/>
      <c r="K625" s="429"/>
      <c r="L625" s="383"/>
      <c r="M625" s="383" t="s">
        <v>957</v>
      </c>
      <c r="N625" s="383" t="s">
        <v>340</v>
      </c>
      <c r="O625" s="383" t="s">
        <v>958</v>
      </c>
      <c r="P625" s="383" t="s">
        <v>970</v>
      </c>
      <c r="Q625" s="383"/>
      <c r="R625" s="431">
        <v>2578000</v>
      </c>
      <c r="S625" s="158">
        <v>0</v>
      </c>
      <c r="T625" s="158">
        <v>0</v>
      </c>
      <c r="U625" s="158">
        <v>0</v>
      </c>
      <c r="V625" s="158">
        <v>0</v>
      </c>
      <c r="W625" s="158">
        <v>0</v>
      </c>
      <c r="X625" s="158">
        <v>0</v>
      </c>
      <c r="Y625" s="158">
        <v>0</v>
      </c>
      <c r="Z625" s="158">
        <v>0</v>
      </c>
      <c r="AA625" s="432">
        <v>0</v>
      </c>
      <c r="AB625" s="432">
        <v>0</v>
      </c>
      <c r="AC625" s="432">
        <v>0</v>
      </c>
      <c r="AD625" s="432">
        <v>0</v>
      </c>
      <c r="AE625" s="432">
        <v>0</v>
      </c>
      <c r="AF625" s="432">
        <v>0</v>
      </c>
      <c r="AG625" s="432">
        <v>0</v>
      </c>
      <c r="AH625" s="432">
        <v>0</v>
      </c>
      <c r="AI625" s="158">
        <v>2578360</v>
      </c>
      <c r="AJ625" s="158">
        <v>0</v>
      </c>
      <c r="AK625" s="158">
        <v>2578360</v>
      </c>
      <c r="AL625" s="158">
        <v>2578360</v>
      </c>
      <c r="AM625" s="158">
        <v>2620800</v>
      </c>
      <c r="AN625" s="158">
        <v>2578360</v>
      </c>
      <c r="AO625" s="158">
        <v>2578360</v>
      </c>
      <c r="AP625" s="158">
        <v>2578000</v>
      </c>
      <c r="AQ625" s="432">
        <v>0</v>
      </c>
      <c r="AR625" s="432">
        <v>0</v>
      </c>
      <c r="AS625" s="432">
        <v>0</v>
      </c>
      <c r="AT625" s="432">
        <v>0</v>
      </c>
      <c r="AU625" s="432">
        <v>0</v>
      </c>
      <c r="AV625" s="432">
        <v>0</v>
      </c>
      <c r="AW625" s="432">
        <v>0</v>
      </c>
      <c r="AX625" s="432">
        <v>0</v>
      </c>
      <c r="AY625" s="158">
        <v>0</v>
      </c>
      <c r="AZ625" s="158">
        <v>0</v>
      </c>
      <c r="BA625" s="158">
        <v>0</v>
      </c>
      <c r="BB625" s="158">
        <v>0</v>
      </c>
      <c r="BC625" s="158">
        <v>0</v>
      </c>
      <c r="BD625" s="158">
        <v>0</v>
      </c>
      <c r="BE625" s="158">
        <v>0</v>
      </c>
      <c r="BF625" s="160">
        <v>0</v>
      </c>
      <c r="BG625" s="383">
        <v>2023</v>
      </c>
      <c r="BH625" s="383">
        <v>3</v>
      </c>
      <c r="BI625" s="383">
        <v>9</v>
      </c>
      <c r="BK625" s="147" t="str">
        <f>IF(R625=SUM(Z625,AH625,AP625,AX625,BF625),"○","×")</f>
        <v>○</v>
      </c>
    </row>
    <row r="626" spans="1:63" x14ac:dyDescent="0.2">
      <c r="A626" s="428">
        <v>1846</v>
      </c>
      <c r="B626" s="429"/>
      <c r="C626" s="430"/>
      <c r="D626" s="429"/>
      <c r="E626" s="430"/>
      <c r="F626" s="429"/>
      <c r="G626" s="429"/>
      <c r="H626" s="430"/>
      <c r="I626" s="429"/>
      <c r="J626" s="429"/>
      <c r="K626" s="429"/>
      <c r="L626" s="383"/>
      <c r="M626" s="383" t="s">
        <v>589</v>
      </c>
      <c r="N626" s="383" t="s">
        <v>353</v>
      </c>
      <c r="O626" s="383" t="s">
        <v>590</v>
      </c>
      <c r="P626" s="383" t="s">
        <v>970</v>
      </c>
      <c r="Q626" s="383"/>
      <c r="R626" s="431">
        <v>1823000</v>
      </c>
      <c r="S626" s="158">
        <v>0</v>
      </c>
      <c r="T626" s="158">
        <v>0</v>
      </c>
      <c r="U626" s="158">
        <v>0</v>
      </c>
      <c r="V626" s="158">
        <v>0</v>
      </c>
      <c r="W626" s="158">
        <v>0</v>
      </c>
      <c r="X626" s="158">
        <v>0</v>
      </c>
      <c r="Y626" s="158">
        <v>0</v>
      </c>
      <c r="Z626" s="158">
        <v>0</v>
      </c>
      <c r="AA626" s="432">
        <v>0</v>
      </c>
      <c r="AB626" s="432">
        <v>0</v>
      </c>
      <c r="AC626" s="432">
        <v>0</v>
      </c>
      <c r="AD626" s="432">
        <v>0</v>
      </c>
      <c r="AE626" s="432">
        <v>0</v>
      </c>
      <c r="AF626" s="432">
        <v>0</v>
      </c>
      <c r="AG626" s="432">
        <v>0</v>
      </c>
      <c r="AH626" s="432">
        <v>0</v>
      </c>
      <c r="AI626" s="158">
        <v>1823835</v>
      </c>
      <c r="AJ626" s="158">
        <v>0</v>
      </c>
      <c r="AK626" s="158">
        <v>1823835</v>
      </c>
      <c r="AL626" s="158">
        <v>1823835</v>
      </c>
      <c r="AM626" s="158">
        <v>2214000</v>
      </c>
      <c r="AN626" s="158">
        <v>1823835</v>
      </c>
      <c r="AO626" s="158">
        <v>1823835</v>
      </c>
      <c r="AP626" s="158">
        <v>1823000</v>
      </c>
      <c r="AQ626" s="432">
        <v>0</v>
      </c>
      <c r="AR626" s="432">
        <v>0</v>
      </c>
      <c r="AS626" s="432">
        <v>0</v>
      </c>
      <c r="AT626" s="432">
        <v>0</v>
      </c>
      <c r="AU626" s="432">
        <v>0</v>
      </c>
      <c r="AV626" s="432">
        <v>0</v>
      </c>
      <c r="AW626" s="432">
        <v>0</v>
      </c>
      <c r="AX626" s="432">
        <v>0</v>
      </c>
      <c r="AY626" s="158">
        <v>0</v>
      </c>
      <c r="AZ626" s="158">
        <v>0</v>
      </c>
      <c r="BA626" s="158">
        <v>0</v>
      </c>
      <c r="BB626" s="158">
        <v>0</v>
      </c>
      <c r="BC626" s="158">
        <v>0</v>
      </c>
      <c r="BD626" s="158">
        <v>0</v>
      </c>
      <c r="BE626" s="158">
        <v>0</v>
      </c>
      <c r="BF626" s="160">
        <v>0</v>
      </c>
      <c r="BG626" s="383">
        <v>2023</v>
      </c>
      <c r="BH626" s="383">
        <v>3</v>
      </c>
      <c r="BI626" s="383">
        <v>9</v>
      </c>
      <c r="BK626" s="147" t="str">
        <f>IF(R626=SUM(Z626,AH626,AP626,AX626,BF626),"○","×")</f>
        <v>○</v>
      </c>
    </row>
    <row r="627" spans="1:63" x14ac:dyDescent="0.2">
      <c r="A627" s="428">
        <v>1847</v>
      </c>
      <c r="B627" s="429"/>
      <c r="C627" s="430"/>
      <c r="D627" s="429"/>
      <c r="E627" s="430"/>
      <c r="F627" s="429"/>
      <c r="G627" s="429"/>
      <c r="H627" s="430"/>
      <c r="I627" s="429"/>
      <c r="J627" s="429"/>
      <c r="K627" s="429"/>
      <c r="L627" s="383"/>
      <c r="M627" s="383" t="s">
        <v>853</v>
      </c>
      <c r="N627" s="383" t="s">
        <v>329</v>
      </c>
      <c r="O627" s="383" t="s">
        <v>466</v>
      </c>
      <c r="P627" s="383" t="s">
        <v>970</v>
      </c>
      <c r="Q627" s="383"/>
      <c r="R627" s="431">
        <v>908000</v>
      </c>
      <c r="S627" s="158">
        <v>0</v>
      </c>
      <c r="T627" s="158">
        <v>0</v>
      </c>
      <c r="U627" s="158">
        <v>0</v>
      </c>
      <c r="V627" s="158">
        <v>0</v>
      </c>
      <c r="W627" s="158">
        <v>0</v>
      </c>
      <c r="X627" s="158">
        <v>0</v>
      </c>
      <c r="Y627" s="158">
        <v>0</v>
      </c>
      <c r="Z627" s="158">
        <v>0</v>
      </c>
      <c r="AA627" s="432">
        <v>0</v>
      </c>
      <c r="AB627" s="432">
        <v>0</v>
      </c>
      <c r="AC627" s="432">
        <v>0</v>
      </c>
      <c r="AD627" s="432">
        <v>0</v>
      </c>
      <c r="AE627" s="432">
        <v>0</v>
      </c>
      <c r="AF627" s="432">
        <v>0</v>
      </c>
      <c r="AG627" s="432">
        <v>0</v>
      </c>
      <c r="AH627" s="432">
        <v>0</v>
      </c>
      <c r="AI627" s="158">
        <v>908490</v>
      </c>
      <c r="AJ627" s="158">
        <v>0</v>
      </c>
      <c r="AK627" s="158">
        <v>908490</v>
      </c>
      <c r="AL627" s="158">
        <v>908490</v>
      </c>
      <c r="AM627" s="158">
        <v>2160000</v>
      </c>
      <c r="AN627" s="158">
        <v>908490</v>
      </c>
      <c r="AO627" s="158">
        <v>908490</v>
      </c>
      <c r="AP627" s="158">
        <v>908000</v>
      </c>
      <c r="AQ627" s="432">
        <v>0</v>
      </c>
      <c r="AR627" s="432">
        <v>0</v>
      </c>
      <c r="AS627" s="432">
        <v>0</v>
      </c>
      <c r="AT627" s="432">
        <v>0</v>
      </c>
      <c r="AU627" s="432">
        <v>0</v>
      </c>
      <c r="AV627" s="432">
        <v>0</v>
      </c>
      <c r="AW627" s="432">
        <v>0</v>
      </c>
      <c r="AX627" s="432">
        <v>0</v>
      </c>
      <c r="AY627" s="158">
        <v>0</v>
      </c>
      <c r="AZ627" s="158">
        <v>0</v>
      </c>
      <c r="BA627" s="158">
        <v>0</v>
      </c>
      <c r="BB627" s="158">
        <v>0</v>
      </c>
      <c r="BC627" s="158">
        <v>0</v>
      </c>
      <c r="BD627" s="158">
        <v>0</v>
      </c>
      <c r="BE627" s="158">
        <v>0</v>
      </c>
      <c r="BF627" s="160">
        <v>0</v>
      </c>
      <c r="BG627" s="383">
        <v>2023</v>
      </c>
      <c r="BH627" s="383">
        <v>3</v>
      </c>
      <c r="BI627" s="383">
        <v>9</v>
      </c>
      <c r="BK627" s="147" t="str">
        <f>IF(R627=SUM(Z627,AH627,AP627,AX627,BF627),"○","×")</f>
        <v>○</v>
      </c>
    </row>
    <row r="628" spans="1:63" x14ac:dyDescent="0.2">
      <c r="A628" s="428">
        <v>1848</v>
      </c>
      <c r="B628" s="429"/>
      <c r="C628" s="430"/>
      <c r="D628" s="429"/>
      <c r="E628" s="430"/>
      <c r="F628" s="429"/>
      <c r="G628" s="429"/>
      <c r="H628" s="430"/>
      <c r="I628" s="429"/>
      <c r="J628" s="429"/>
      <c r="K628" s="429"/>
      <c r="L628" s="383"/>
      <c r="M628" s="383" t="s">
        <v>959</v>
      </c>
      <c r="N628" s="383" t="s">
        <v>427</v>
      </c>
      <c r="O628" s="383" t="s">
        <v>960</v>
      </c>
      <c r="P628" s="383" t="s">
        <v>970</v>
      </c>
      <c r="Q628" s="383"/>
      <c r="R628" s="431">
        <v>2332000</v>
      </c>
      <c r="S628" s="158">
        <v>0</v>
      </c>
      <c r="T628" s="158">
        <v>0</v>
      </c>
      <c r="U628" s="158">
        <v>0</v>
      </c>
      <c r="V628" s="158">
        <v>0</v>
      </c>
      <c r="W628" s="158">
        <v>0</v>
      </c>
      <c r="X628" s="158">
        <v>0</v>
      </c>
      <c r="Y628" s="158">
        <v>0</v>
      </c>
      <c r="Z628" s="158">
        <v>0</v>
      </c>
      <c r="AA628" s="432">
        <v>0</v>
      </c>
      <c r="AB628" s="432">
        <v>0</v>
      </c>
      <c r="AC628" s="432">
        <v>0</v>
      </c>
      <c r="AD628" s="432">
        <v>0</v>
      </c>
      <c r="AE628" s="432">
        <v>0</v>
      </c>
      <c r="AF628" s="432">
        <v>0</v>
      </c>
      <c r="AG628" s="432">
        <v>0</v>
      </c>
      <c r="AH628" s="432">
        <v>0</v>
      </c>
      <c r="AI628" s="158">
        <v>2332740</v>
      </c>
      <c r="AJ628" s="158">
        <v>0</v>
      </c>
      <c r="AK628" s="158">
        <v>2332740</v>
      </c>
      <c r="AL628" s="158">
        <v>2332740</v>
      </c>
      <c r="AM628" s="158">
        <v>4633200</v>
      </c>
      <c r="AN628" s="158">
        <v>2332740</v>
      </c>
      <c r="AO628" s="158">
        <v>2332740</v>
      </c>
      <c r="AP628" s="158">
        <v>2332000</v>
      </c>
      <c r="AQ628" s="432">
        <v>0</v>
      </c>
      <c r="AR628" s="432">
        <v>0</v>
      </c>
      <c r="AS628" s="432">
        <v>0</v>
      </c>
      <c r="AT628" s="432">
        <v>0</v>
      </c>
      <c r="AU628" s="432">
        <v>0</v>
      </c>
      <c r="AV628" s="432">
        <v>0</v>
      </c>
      <c r="AW628" s="432">
        <v>0</v>
      </c>
      <c r="AX628" s="432">
        <v>0</v>
      </c>
      <c r="AY628" s="158">
        <v>0</v>
      </c>
      <c r="AZ628" s="158">
        <v>0</v>
      </c>
      <c r="BA628" s="158">
        <v>0</v>
      </c>
      <c r="BB628" s="158">
        <v>0</v>
      </c>
      <c r="BC628" s="158">
        <v>0</v>
      </c>
      <c r="BD628" s="158">
        <v>0</v>
      </c>
      <c r="BE628" s="158">
        <v>0</v>
      </c>
      <c r="BF628" s="160">
        <v>0</v>
      </c>
      <c r="BG628" s="383">
        <v>2023</v>
      </c>
      <c r="BH628" s="383">
        <v>3</v>
      </c>
      <c r="BI628" s="383">
        <v>9</v>
      </c>
      <c r="BK628" s="147" t="str">
        <f>IF(R628=SUM(Z628,AH628,AP628,AX628,BF628),"○","×")</f>
        <v>○</v>
      </c>
    </row>
    <row r="629" spans="1:63" x14ac:dyDescent="0.2">
      <c r="A629" s="428">
        <v>1849</v>
      </c>
      <c r="B629" s="429"/>
      <c r="C629" s="430"/>
      <c r="D629" s="429"/>
      <c r="E629" s="430"/>
      <c r="F629" s="429"/>
      <c r="G629" s="429"/>
      <c r="H629" s="430"/>
      <c r="I629" s="429"/>
      <c r="J629" s="429"/>
      <c r="K629" s="429"/>
      <c r="L629" s="383"/>
      <c r="M629" s="383" t="s">
        <v>355</v>
      </c>
      <c r="N629" s="383" t="s">
        <v>356</v>
      </c>
      <c r="O629" s="383" t="s">
        <v>357</v>
      </c>
      <c r="P629" s="383" t="s">
        <v>970</v>
      </c>
      <c r="Q629" s="383"/>
      <c r="R629" s="431">
        <v>1111000</v>
      </c>
      <c r="S629" s="158">
        <v>0</v>
      </c>
      <c r="T629" s="158">
        <v>0</v>
      </c>
      <c r="U629" s="158">
        <v>0</v>
      </c>
      <c r="V629" s="158">
        <v>0</v>
      </c>
      <c r="W629" s="158">
        <v>0</v>
      </c>
      <c r="X629" s="158">
        <v>0</v>
      </c>
      <c r="Y629" s="158">
        <v>0</v>
      </c>
      <c r="Z629" s="158">
        <v>0</v>
      </c>
      <c r="AA629" s="432">
        <v>0</v>
      </c>
      <c r="AB629" s="432">
        <v>0</v>
      </c>
      <c r="AC629" s="432">
        <v>0</v>
      </c>
      <c r="AD629" s="432">
        <v>0</v>
      </c>
      <c r="AE629" s="432">
        <v>0</v>
      </c>
      <c r="AF629" s="432">
        <v>0</v>
      </c>
      <c r="AG629" s="432">
        <v>0</v>
      </c>
      <c r="AH629" s="432">
        <v>0</v>
      </c>
      <c r="AI629" s="158">
        <v>1111742</v>
      </c>
      <c r="AJ629" s="158">
        <v>0</v>
      </c>
      <c r="AK629" s="158">
        <v>1111742</v>
      </c>
      <c r="AL629" s="158">
        <v>1111742</v>
      </c>
      <c r="AM629" s="158">
        <v>5227200</v>
      </c>
      <c r="AN629" s="158">
        <v>1111742</v>
      </c>
      <c r="AO629" s="158">
        <v>1111742</v>
      </c>
      <c r="AP629" s="158">
        <v>1111000</v>
      </c>
      <c r="AQ629" s="432">
        <v>0</v>
      </c>
      <c r="AR629" s="432">
        <v>0</v>
      </c>
      <c r="AS629" s="432">
        <v>0</v>
      </c>
      <c r="AT629" s="432">
        <v>0</v>
      </c>
      <c r="AU629" s="432">
        <v>0</v>
      </c>
      <c r="AV629" s="432">
        <v>0</v>
      </c>
      <c r="AW629" s="432">
        <v>0</v>
      </c>
      <c r="AX629" s="432">
        <v>0</v>
      </c>
      <c r="AY629" s="158">
        <v>0</v>
      </c>
      <c r="AZ629" s="158">
        <v>0</v>
      </c>
      <c r="BA629" s="158">
        <v>0</v>
      </c>
      <c r="BB629" s="158">
        <v>0</v>
      </c>
      <c r="BC629" s="158">
        <v>0</v>
      </c>
      <c r="BD629" s="158">
        <v>0</v>
      </c>
      <c r="BE629" s="158">
        <v>0</v>
      </c>
      <c r="BF629" s="160">
        <v>0</v>
      </c>
      <c r="BG629" s="383">
        <v>2023</v>
      </c>
      <c r="BH629" s="383">
        <v>3</v>
      </c>
      <c r="BI629" s="383">
        <v>9</v>
      </c>
      <c r="BK629" s="147" t="str">
        <f>IF(R629=SUM(Z629,AH629,AP629,AX629,BF629),"○","×")</f>
        <v>○</v>
      </c>
    </row>
    <row r="630" spans="1:63" x14ac:dyDescent="0.2">
      <c r="A630" s="428">
        <v>1850</v>
      </c>
      <c r="B630" s="429"/>
      <c r="C630" s="430"/>
      <c r="D630" s="429"/>
      <c r="E630" s="430"/>
      <c r="F630" s="429"/>
      <c r="G630" s="429"/>
      <c r="H630" s="430"/>
      <c r="I630" s="429"/>
      <c r="J630" s="429"/>
      <c r="K630" s="429"/>
      <c r="L630" s="383"/>
      <c r="M630" s="383" t="s">
        <v>355</v>
      </c>
      <c r="N630" s="383" t="s">
        <v>356</v>
      </c>
      <c r="O630" s="383" t="s">
        <v>357</v>
      </c>
      <c r="P630" s="383" t="s">
        <v>970</v>
      </c>
      <c r="Q630" s="383"/>
      <c r="R630" s="431">
        <v>2024000</v>
      </c>
      <c r="S630" s="158">
        <v>0</v>
      </c>
      <c r="T630" s="158">
        <v>0</v>
      </c>
      <c r="U630" s="158">
        <v>0</v>
      </c>
      <c r="V630" s="158">
        <v>0</v>
      </c>
      <c r="W630" s="158">
        <v>0</v>
      </c>
      <c r="X630" s="158">
        <v>0</v>
      </c>
      <c r="Y630" s="158">
        <v>0</v>
      </c>
      <c r="Z630" s="158">
        <v>0</v>
      </c>
      <c r="AA630" s="432">
        <v>0</v>
      </c>
      <c r="AB630" s="432">
        <v>0</v>
      </c>
      <c r="AC630" s="432">
        <v>0</v>
      </c>
      <c r="AD630" s="432">
        <v>0</v>
      </c>
      <c r="AE630" s="432">
        <v>0</v>
      </c>
      <c r="AF630" s="432">
        <v>0</v>
      </c>
      <c r="AG630" s="432">
        <v>0</v>
      </c>
      <c r="AH630" s="432">
        <v>0</v>
      </c>
      <c r="AI630" s="158">
        <v>2024568</v>
      </c>
      <c r="AJ630" s="158">
        <v>0</v>
      </c>
      <c r="AK630" s="158">
        <v>2024568</v>
      </c>
      <c r="AL630" s="158">
        <v>2024568</v>
      </c>
      <c r="AM630" s="158">
        <v>3931200</v>
      </c>
      <c r="AN630" s="158">
        <v>2024568</v>
      </c>
      <c r="AO630" s="158">
        <v>2024568</v>
      </c>
      <c r="AP630" s="158">
        <v>2024000</v>
      </c>
      <c r="AQ630" s="432">
        <v>0</v>
      </c>
      <c r="AR630" s="432">
        <v>0</v>
      </c>
      <c r="AS630" s="432">
        <v>0</v>
      </c>
      <c r="AT630" s="432">
        <v>0</v>
      </c>
      <c r="AU630" s="432">
        <v>0</v>
      </c>
      <c r="AV630" s="432">
        <v>0</v>
      </c>
      <c r="AW630" s="432">
        <v>0</v>
      </c>
      <c r="AX630" s="432">
        <v>0</v>
      </c>
      <c r="AY630" s="158">
        <v>0</v>
      </c>
      <c r="AZ630" s="158">
        <v>0</v>
      </c>
      <c r="BA630" s="158">
        <v>0</v>
      </c>
      <c r="BB630" s="158">
        <v>0</v>
      </c>
      <c r="BC630" s="158">
        <v>0</v>
      </c>
      <c r="BD630" s="158">
        <v>0</v>
      </c>
      <c r="BE630" s="158">
        <v>0</v>
      </c>
      <c r="BF630" s="160">
        <v>0</v>
      </c>
      <c r="BG630" s="383">
        <v>2023</v>
      </c>
      <c r="BH630" s="383">
        <v>3</v>
      </c>
      <c r="BI630" s="383">
        <v>9</v>
      </c>
      <c r="BK630" s="147" t="str">
        <f>IF(R630=SUM(Z630,AH630,AP630,AX630,BF630),"○","×")</f>
        <v>○</v>
      </c>
    </row>
    <row r="631" spans="1:63" x14ac:dyDescent="0.2">
      <c r="A631" s="428">
        <v>1851</v>
      </c>
      <c r="B631" s="429"/>
      <c r="C631" s="430"/>
      <c r="D631" s="429"/>
      <c r="E631" s="430"/>
      <c r="F631" s="429"/>
      <c r="G631" s="429"/>
      <c r="H631" s="430"/>
      <c r="I631" s="429"/>
      <c r="J631" s="429"/>
      <c r="K631" s="429"/>
      <c r="L631" s="383"/>
      <c r="M631" s="383" t="s">
        <v>495</v>
      </c>
      <c r="N631" s="383" t="s">
        <v>323</v>
      </c>
      <c r="O631" s="383" t="s">
        <v>466</v>
      </c>
      <c r="P631" s="383" t="s">
        <v>970</v>
      </c>
      <c r="Q631" s="383"/>
      <c r="R631" s="431">
        <v>497000</v>
      </c>
      <c r="S631" s="158">
        <v>0</v>
      </c>
      <c r="T631" s="158">
        <v>0</v>
      </c>
      <c r="U631" s="158">
        <v>0</v>
      </c>
      <c r="V631" s="158">
        <v>0</v>
      </c>
      <c r="W631" s="158">
        <v>0</v>
      </c>
      <c r="X631" s="158">
        <v>0</v>
      </c>
      <c r="Y631" s="158">
        <v>0</v>
      </c>
      <c r="Z631" s="158">
        <v>0</v>
      </c>
      <c r="AA631" s="432">
        <v>0</v>
      </c>
      <c r="AB631" s="432">
        <v>0</v>
      </c>
      <c r="AC631" s="432">
        <v>0</v>
      </c>
      <c r="AD631" s="432">
        <v>0</v>
      </c>
      <c r="AE631" s="432">
        <v>0</v>
      </c>
      <c r="AF631" s="432">
        <v>0</v>
      </c>
      <c r="AG631" s="432">
        <v>0</v>
      </c>
      <c r="AH631" s="432">
        <v>0</v>
      </c>
      <c r="AI631" s="158">
        <v>497200</v>
      </c>
      <c r="AJ631" s="158">
        <v>0</v>
      </c>
      <c r="AK631" s="158">
        <v>497200</v>
      </c>
      <c r="AL631" s="158">
        <v>497200</v>
      </c>
      <c r="AM631" s="158">
        <v>4536000</v>
      </c>
      <c r="AN631" s="158">
        <v>497200</v>
      </c>
      <c r="AO631" s="158">
        <v>497200</v>
      </c>
      <c r="AP631" s="158">
        <v>497000</v>
      </c>
      <c r="AQ631" s="432">
        <v>0</v>
      </c>
      <c r="AR631" s="432">
        <v>0</v>
      </c>
      <c r="AS631" s="432">
        <v>0</v>
      </c>
      <c r="AT631" s="432">
        <v>0</v>
      </c>
      <c r="AU631" s="432">
        <v>0</v>
      </c>
      <c r="AV631" s="432">
        <v>0</v>
      </c>
      <c r="AW631" s="432">
        <v>0</v>
      </c>
      <c r="AX631" s="432">
        <v>0</v>
      </c>
      <c r="AY631" s="158">
        <v>0</v>
      </c>
      <c r="AZ631" s="158">
        <v>0</v>
      </c>
      <c r="BA631" s="158">
        <v>0</v>
      </c>
      <c r="BB631" s="158">
        <v>0</v>
      </c>
      <c r="BC631" s="158">
        <v>0</v>
      </c>
      <c r="BD631" s="158">
        <v>0</v>
      </c>
      <c r="BE631" s="158">
        <v>0</v>
      </c>
      <c r="BF631" s="160">
        <v>0</v>
      </c>
      <c r="BG631" s="383">
        <v>2023</v>
      </c>
      <c r="BH631" s="383">
        <v>3</v>
      </c>
      <c r="BI631" s="383">
        <v>9</v>
      </c>
      <c r="BK631" s="147" t="str">
        <f>IF(R631=SUM(Z631,AH631,AP631,AX631,BF631),"○","×")</f>
        <v>○</v>
      </c>
    </row>
    <row r="632" spans="1:63" x14ac:dyDescent="0.2">
      <c r="A632" s="428">
        <v>1852</v>
      </c>
      <c r="B632" s="429"/>
      <c r="C632" s="430"/>
      <c r="D632" s="429"/>
      <c r="E632" s="430"/>
      <c r="F632" s="429"/>
      <c r="G632" s="429"/>
      <c r="H632" s="430"/>
      <c r="I632" s="429"/>
      <c r="J632" s="429"/>
      <c r="K632" s="429"/>
      <c r="L632" s="383"/>
      <c r="M632" s="383" t="s">
        <v>961</v>
      </c>
      <c r="N632" s="383" t="s">
        <v>586</v>
      </c>
      <c r="O632" s="383" t="s">
        <v>380</v>
      </c>
      <c r="P632" s="383" t="s">
        <v>970</v>
      </c>
      <c r="Q632" s="383"/>
      <c r="R632" s="431">
        <v>1328000</v>
      </c>
      <c r="S632" s="158">
        <v>0</v>
      </c>
      <c r="T632" s="158">
        <v>0</v>
      </c>
      <c r="U632" s="158">
        <v>0</v>
      </c>
      <c r="V632" s="158">
        <v>0</v>
      </c>
      <c r="W632" s="158">
        <v>0</v>
      </c>
      <c r="X632" s="158">
        <v>0</v>
      </c>
      <c r="Y632" s="158">
        <v>0</v>
      </c>
      <c r="Z632" s="158">
        <v>0</v>
      </c>
      <c r="AA632" s="432">
        <v>0</v>
      </c>
      <c r="AB632" s="432">
        <v>0</v>
      </c>
      <c r="AC632" s="432">
        <v>0</v>
      </c>
      <c r="AD632" s="432">
        <v>0</v>
      </c>
      <c r="AE632" s="432">
        <v>0</v>
      </c>
      <c r="AF632" s="432">
        <v>0</v>
      </c>
      <c r="AG632" s="432">
        <v>0</v>
      </c>
      <c r="AH632" s="432">
        <v>0</v>
      </c>
      <c r="AI632" s="158">
        <v>1328128</v>
      </c>
      <c r="AJ632" s="158">
        <v>0</v>
      </c>
      <c r="AK632" s="158">
        <v>1328128</v>
      </c>
      <c r="AL632" s="158">
        <v>1328128</v>
      </c>
      <c r="AM632" s="158">
        <v>2574000</v>
      </c>
      <c r="AN632" s="158">
        <v>1328128</v>
      </c>
      <c r="AO632" s="158">
        <v>1328128</v>
      </c>
      <c r="AP632" s="158">
        <v>1328000</v>
      </c>
      <c r="AQ632" s="432">
        <v>0</v>
      </c>
      <c r="AR632" s="432">
        <v>0</v>
      </c>
      <c r="AS632" s="432">
        <v>0</v>
      </c>
      <c r="AT632" s="432">
        <v>0</v>
      </c>
      <c r="AU632" s="432">
        <v>0</v>
      </c>
      <c r="AV632" s="432">
        <v>0</v>
      </c>
      <c r="AW632" s="432">
        <v>0</v>
      </c>
      <c r="AX632" s="432">
        <v>0</v>
      </c>
      <c r="AY632" s="158">
        <v>0</v>
      </c>
      <c r="AZ632" s="158">
        <v>0</v>
      </c>
      <c r="BA632" s="158">
        <v>0</v>
      </c>
      <c r="BB632" s="158">
        <v>0</v>
      </c>
      <c r="BC632" s="158">
        <v>0</v>
      </c>
      <c r="BD632" s="158">
        <v>0</v>
      </c>
      <c r="BE632" s="158">
        <v>0</v>
      </c>
      <c r="BF632" s="160">
        <v>0</v>
      </c>
      <c r="BG632" s="383">
        <v>2023</v>
      </c>
      <c r="BH632" s="383">
        <v>3</v>
      </c>
      <c r="BI632" s="383">
        <v>9</v>
      </c>
      <c r="BK632" s="147" t="str">
        <f>IF(R632=SUM(Z632,AH632,AP632,AX632,BF632),"○","×")</f>
        <v>○</v>
      </c>
    </row>
    <row r="633" spans="1:63" x14ac:dyDescent="0.2">
      <c r="A633" s="428">
        <v>1853</v>
      </c>
      <c r="B633" s="429"/>
      <c r="C633" s="430"/>
      <c r="D633" s="429"/>
      <c r="E633" s="430"/>
      <c r="F633" s="429"/>
      <c r="G633" s="429"/>
      <c r="H633" s="430"/>
      <c r="I633" s="429"/>
      <c r="J633" s="429"/>
      <c r="K633" s="429"/>
      <c r="L633" s="383"/>
      <c r="M633" s="383" t="s">
        <v>962</v>
      </c>
      <c r="N633" s="383" t="s">
        <v>586</v>
      </c>
      <c r="O633" s="383" t="s">
        <v>963</v>
      </c>
      <c r="P633" s="383" t="s">
        <v>970</v>
      </c>
      <c r="Q633" s="383"/>
      <c r="R633" s="431">
        <v>581000</v>
      </c>
      <c r="S633" s="158">
        <v>0</v>
      </c>
      <c r="T633" s="158">
        <v>0</v>
      </c>
      <c r="U633" s="158">
        <v>0</v>
      </c>
      <c r="V633" s="158">
        <v>0</v>
      </c>
      <c r="W633" s="158">
        <v>0</v>
      </c>
      <c r="X633" s="158">
        <v>0</v>
      </c>
      <c r="Y633" s="158">
        <v>0</v>
      </c>
      <c r="Z633" s="158">
        <v>0</v>
      </c>
      <c r="AA633" s="432">
        <v>0</v>
      </c>
      <c r="AB633" s="432">
        <v>0</v>
      </c>
      <c r="AC633" s="432">
        <v>0</v>
      </c>
      <c r="AD633" s="432">
        <v>0</v>
      </c>
      <c r="AE633" s="432">
        <v>0</v>
      </c>
      <c r="AF633" s="432">
        <v>0</v>
      </c>
      <c r="AG633" s="432">
        <v>0</v>
      </c>
      <c r="AH633" s="432">
        <v>0</v>
      </c>
      <c r="AI633" s="158">
        <v>581696</v>
      </c>
      <c r="AJ633" s="158">
        <v>0</v>
      </c>
      <c r="AK633" s="158">
        <v>581696</v>
      </c>
      <c r="AL633" s="158">
        <v>581696</v>
      </c>
      <c r="AM633" s="158">
        <v>3074400</v>
      </c>
      <c r="AN633" s="158">
        <v>581696</v>
      </c>
      <c r="AO633" s="158">
        <v>581696</v>
      </c>
      <c r="AP633" s="158">
        <v>581000</v>
      </c>
      <c r="AQ633" s="432">
        <v>0</v>
      </c>
      <c r="AR633" s="432">
        <v>0</v>
      </c>
      <c r="AS633" s="432">
        <v>0</v>
      </c>
      <c r="AT633" s="432">
        <v>0</v>
      </c>
      <c r="AU633" s="432">
        <v>0</v>
      </c>
      <c r="AV633" s="432">
        <v>0</v>
      </c>
      <c r="AW633" s="432">
        <v>0</v>
      </c>
      <c r="AX633" s="432">
        <v>0</v>
      </c>
      <c r="AY633" s="158">
        <v>0</v>
      </c>
      <c r="AZ633" s="158">
        <v>0</v>
      </c>
      <c r="BA633" s="158">
        <v>0</v>
      </c>
      <c r="BB633" s="158">
        <v>0</v>
      </c>
      <c r="BC633" s="158">
        <v>0</v>
      </c>
      <c r="BD633" s="158">
        <v>0</v>
      </c>
      <c r="BE633" s="158">
        <v>0</v>
      </c>
      <c r="BF633" s="160">
        <v>0</v>
      </c>
      <c r="BG633" s="383">
        <v>2023</v>
      </c>
      <c r="BH633" s="383">
        <v>3</v>
      </c>
      <c r="BI633" s="383">
        <v>9</v>
      </c>
      <c r="BK633" s="147" t="str">
        <f>IF(R633=SUM(Z633,AH633,AP633,AX633,BF633),"○","×")</f>
        <v>○</v>
      </c>
    </row>
    <row r="634" spans="1:63" x14ac:dyDescent="0.2">
      <c r="A634" s="428">
        <v>1854</v>
      </c>
      <c r="B634" s="429"/>
      <c r="C634" s="430"/>
      <c r="D634" s="429"/>
      <c r="E634" s="430"/>
      <c r="F634" s="429"/>
      <c r="G634" s="429"/>
      <c r="H634" s="430"/>
      <c r="I634" s="429"/>
      <c r="J634" s="429"/>
      <c r="K634" s="429"/>
      <c r="L634" s="383"/>
      <c r="M634" s="383" t="s">
        <v>964</v>
      </c>
      <c r="N634" s="383" t="s">
        <v>335</v>
      </c>
      <c r="O634" s="383" t="s">
        <v>692</v>
      </c>
      <c r="P634" s="383" t="s">
        <v>970</v>
      </c>
      <c r="Q634" s="383"/>
      <c r="R634" s="431">
        <v>1307000</v>
      </c>
      <c r="S634" s="158">
        <v>0</v>
      </c>
      <c r="T634" s="158">
        <v>0</v>
      </c>
      <c r="U634" s="158">
        <v>0</v>
      </c>
      <c r="V634" s="158">
        <v>0</v>
      </c>
      <c r="W634" s="158">
        <v>0</v>
      </c>
      <c r="X634" s="158">
        <v>0</v>
      </c>
      <c r="Y634" s="158">
        <v>0</v>
      </c>
      <c r="Z634" s="158">
        <v>0</v>
      </c>
      <c r="AA634" s="432">
        <v>0</v>
      </c>
      <c r="AB634" s="432">
        <v>0</v>
      </c>
      <c r="AC634" s="432">
        <v>0</v>
      </c>
      <c r="AD634" s="432">
        <v>0</v>
      </c>
      <c r="AE634" s="432">
        <v>0</v>
      </c>
      <c r="AF634" s="432">
        <v>0</v>
      </c>
      <c r="AG634" s="432">
        <v>0</v>
      </c>
      <c r="AH634" s="432">
        <v>0</v>
      </c>
      <c r="AI634" s="158">
        <v>1307315</v>
      </c>
      <c r="AJ634" s="158">
        <v>0</v>
      </c>
      <c r="AK634" s="158">
        <v>1307315</v>
      </c>
      <c r="AL634" s="158">
        <v>1307315</v>
      </c>
      <c r="AM634" s="158">
        <v>2102400</v>
      </c>
      <c r="AN634" s="158">
        <v>1307315</v>
      </c>
      <c r="AO634" s="158">
        <v>1307315</v>
      </c>
      <c r="AP634" s="158">
        <v>1307000</v>
      </c>
      <c r="AQ634" s="432">
        <v>0</v>
      </c>
      <c r="AR634" s="432">
        <v>0</v>
      </c>
      <c r="AS634" s="432">
        <v>0</v>
      </c>
      <c r="AT634" s="432">
        <v>0</v>
      </c>
      <c r="AU634" s="432">
        <v>0</v>
      </c>
      <c r="AV634" s="432">
        <v>0</v>
      </c>
      <c r="AW634" s="432">
        <v>0</v>
      </c>
      <c r="AX634" s="432">
        <v>0</v>
      </c>
      <c r="AY634" s="158">
        <v>0</v>
      </c>
      <c r="AZ634" s="158">
        <v>0</v>
      </c>
      <c r="BA634" s="158">
        <v>0</v>
      </c>
      <c r="BB634" s="158">
        <v>0</v>
      </c>
      <c r="BC634" s="158">
        <v>0</v>
      </c>
      <c r="BD634" s="158">
        <v>0</v>
      </c>
      <c r="BE634" s="158">
        <v>0</v>
      </c>
      <c r="BF634" s="160">
        <v>0</v>
      </c>
      <c r="BG634" s="383">
        <v>2023</v>
      </c>
      <c r="BH634" s="383">
        <v>3</v>
      </c>
      <c r="BI634" s="383">
        <v>9</v>
      </c>
      <c r="BK634" s="147" t="str">
        <f>IF(R634=SUM(Z634,AH634,AP634,AX634,BF634),"○","×")</f>
        <v>○</v>
      </c>
    </row>
    <row r="635" spans="1:63" x14ac:dyDescent="0.2">
      <c r="A635" s="428">
        <v>1856</v>
      </c>
      <c r="B635" s="429"/>
      <c r="C635" s="430"/>
      <c r="D635" s="429"/>
      <c r="E635" s="430"/>
      <c r="F635" s="429"/>
      <c r="G635" s="429"/>
      <c r="H635" s="430"/>
      <c r="I635" s="429"/>
      <c r="J635" s="429"/>
      <c r="K635" s="429"/>
      <c r="L635" s="383"/>
      <c r="M635" s="383" t="s">
        <v>796</v>
      </c>
      <c r="N635" s="383" t="s">
        <v>323</v>
      </c>
      <c r="O635" s="383" t="s">
        <v>599</v>
      </c>
      <c r="P635" s="383" t="s">
        <v>970</v>
      </c>
      <c r="Q635" s="383"/>
      <c r="R635" s="431">
        <v>829000</v>
      </c>
      <c r="S635" s="158">
        <v>0</v>
      </c>
      <c r="T635" s="158">
        <v>0</v>
      </c>
      <c r="U635" s="158">
        <v>0</v>
      </c>
      <c r="V635" s="158">
        <v>0</v>
      </c>
      <c r="W635" s="158">
        <v>0</v>
      </c>
      <c r="X635" s="158">
        <v>0</v>
      </c>
      <c r="Y635" s="158">
        <v>0</v>
      </c>
      <c r="Z635" s="158">
        <v>0</v>
      </c>
      <c r="AA635" s="432">
        <v>0</v>
      </c>
      <c r="AB635" s="432">
        <v>0</v>
      </c>
      <c r="AC635" s="432">
        <v>0</v>
      </c>
      <c r="AD635" s="432">
        <v>0</v>
      </c>
      <c r="AE635" s="432">
        <v>0</v>
      </c>
      <c r="AF635" s="432">
        <v>0</v>
      </c>
      <c r="AG635" s="432">
        <v>0</v>
      </c>
      <c r="AH635" s="432">
        <v>0</v>
      </c>
      <c r="AI635" s="158">
        <v>829250</v>
      </c>
      <c r="AJ635" s="158">
        <v>0</v>
      </c>
      <c r="AK635" s="158">
        <v>829250</v>
      </c>
      <c r="AL635" s="158">
        <v>829250</v>
      </c>
      <c r="AM635" s="158">
        <v>6264000</v>
      </c>
      <c r="AN635" s="158">
        <v>829250</v>
      </c>
      <c r="AO635" s="158">
        <v>829250</v>
      </c>
      <c r="AP635" s="158">
        <v>829000</v>
      </c>
      <c r="AQ635" s="432">
        <v>0</v>
      </c>
      <c r="AR635" s="432">
        <v>0</v>
      </c>
      <c r="AS635" s="432">
        <v>0</v>
      </c>
      <c r="AT635" s="432">
        <v>0</v>
      </c>
      <c r="AU635" s="432">
        <v>0</v>
      </c>
      <c r="AV635" s="432">
        <v>0</v>
      </c>
      <c r="AW635" s="432">
        <v>0</v>
      </c>
      <c r="AX635" s="432">
        <v>0</v>
      </c>
      <c r="AY635" s="158">
        <v>0</v>
      </c>
      <c r="AZ635" s="158">
        <v>0</v>
      </c>
      <c r="BA635" s="158">
        <v>0</v>
      </c>
      <c r="BB635" s="158">
        <v>0</v>
      </c>
      <c r="BC635" s="158">
        <v>0</v>
      </c>
      <c r="BD635" s="158">
        <v>0</v>
      </c>
      <c r="BE635" s="158">
        <v>0</v>
      </c>
      <c r="BF635" s="160">
        <v>0</v>
      </c>
      <c r="BG635" s="383">
        <v>2023</v>
      </c>
      <c r="BH635" s="383">
        <v>3</v>
      </c>
      <c r="BI635" s="383">
        <v>9</v>
      </c>
      <c r="BK635" s="147" t="str">
        <f>IF(R635=SUM(Z635,AH635,AP635,AX635,BF635),"○","×")</f>
        <v>○</v>
      </c>
    </row>
    <row r="636" spans="1:63" x14ac:dyDescent="0.2">
      <c r="A636" s="428">
        <v>1857</v>
      </c>
      <c r="B636" s="429"/>
      <c r="C636" s="430"/>
      <c r="D636" s="429"/>
      <c r="E636" s="430"/>
      <c r="F636" s="429"/>
      <c r="G636" s="429"/>
      <c r="H636" s="430"/>
      <c r="I636" s="429"/>
      <c r="J636" s="429"/>
      <c r="K636" s="429"/>
      <c r="L636" s="383"/>
      <c r="M636" s="383" t="s">
        <v>965</v>
      </c>
      <c r="N636" s="383" t="s">
        <v>975</v>
      </c>
      <c r="O636" s="383" t="s">
        <v>966</v>
      </c>
      <c r="P636" s="383" t="s">
        <v>970</v>
      </c>
      <c r="Q636" s="383"/>
      <c r="R636" s="431">
        <v>595000</v>
      </c>
      <c r="S636" s="158">
        <v>0</v>
      </c>
      <c r="T636" s="158">
        <v>0</v>
      </c>
      <c r="U636" s="158">
        <v>0</v>
      </c>
      <c r="V636" s="158">
        <v>0</v>
      </c>
      <c r="W636" s="158">
        <v>0</v>
      </c>
      <c r="X636" s="158">
        <v>0</v>
      </c>
      <c r="Y636" s="158">
        <v>0</v>
      </c>
      <c r="Z636" s="158">
        <v>0</v>
      </c>
      <c r="AA636" s="432">
        <v>0</v>
      </c>
      <c r="AB636" s="432">
        <v>0</v>
      </c>
      <c r="AC636" s="432">
        <v>0</v>
      </c>
      <c r="AD636" s="432">
        <v>0</v>
      </c>
      <c r="AE636" s="432">
        <v>0</v>
      </c>
      <c r="AF636" s="432">
        <v>0</v>
      </c>
      <c r="AG636" s="432">
        <v>0</v>
      </c>
      <c r="AH636" s="432">
        <v>0</v>
      </c>
      <c r="AI636" s="158">
        <v>595100</v>
      </c>
      <c r="AJ636" s="158">
        <v>0</v>
      </c>
      <c r="AK636" s="158">
        <v>595100</v>
      </c>
      <c r="AL636" s="158">
        <v>595100</v>
      </c>
      <c r="AM636" s="158">
        <v>5220000</v>
      </c>
      <c r="AN636" s="158">
        <v>595100</v>
      </c>
      <c r="AO636" s="158">
        <v>595000</v>
      </c>
      <c r="AP636" s="158">
        <v>595000</v>
      </c>
      <c r="AQ636" s="432">
        <v>0</v>
      </c>
      <c r="AR636" s="432">
        <v>0</v>
      </c>
      <c r="AS636" s="432">
        <v>0</v>
      </c>
      <c r="AT636" s="432">
        <v>0</v>
      </c>
      <c r="AU636" s="432">
        <v>0</v>
      </c>
      <c r="AV636" s="432">
        <v>0</v>
      </c>
      <c r="AW636" s="432">
        <v>0</v>
      </c>
      <c r="AX636" s="432">
        <v>0</v>
      </c>
      <c r="AY636" s="158">
        <v>0</v>
      </c>
      <c r="AZ636" s="158">
        <v>0</v>
      </c>
      <c r="BA636" s="158">
        <v>0</v>
      </c>
      <c r="BB636" s="158">
        <v>0</v>
      </c>
      <c r="BC636" s="158">
        <v>0</v>
      </c>
      <c r="BD636" s="158">
        <v>0</v>
      </c>
      <c r="BE636" s="158">
        <v>0</v>
      </c>
      <c r="BF636" s="160">
        <v>0</v>
      </c>
      <c r="BG636" s="383">
        <v>2023</v>
      </c>
      <c r="BH636" s="383">
        <v>3</v>
      </c>
      <c r="BI636" s="383">
        <v>9</v>
      </c>
      <c r="BK636" s="147" t="str">
        <f>IF(R636=SUM(Z636,AH636,AP636,AX636,BF636),"○","×")</f>
        <v>○</v>
      </c>
    </row>
    <row r="637" spans="1:63" x14ac:dyDescent="0.2">
      <c r="A637" s="428">
        <v>1859</v>
      </c>
      <c r="B637" s="429"/>
      <c r="C637" s="430"/>
      <c r="D637" s="429"/>
      <c r="E637" s="430"/>
      <c r="F637" s="429"/>
      <c r="G637" s="429"/>
      <c r="H637" s="430"/>
      <c r="I637" s="429"/>
      <c r="J637" s="429"/>
      <c r="K637" s="429"/>
      <c r="L637" s="383"/>
      <c r="M637" s="383" t="s">
        <v>959</v>
      </c>
      <c r="N637" s="383" t="s">
        <v>427</v>
      </c>
      <c r="O637" s="383" t="s">
        <v>960</v>
      </c>
      <c r="P637" s="383" t="s">
        <v>970</v>
      </c>
      <c r="Q637" s="383"/>
      <c r="R637" s="431">
        <v>1000000</v>
      </c>
      <c r="S637" s="158">
        <v>0</v>
      </c>
      <c r="T637" s="158">
        <v>0</v>
      </c>
      <c r="U637" s="158">
        <v>0</v>
      </c>
      <c r="V637" s="158">
        <v>0</v>
      </c>
      <c r="W637" s="158">
        <v>0</v>
      </c>
      <c r="X637" s="158">
        <v>0</v>
      </c>
      <c r="Y637" s="158">
        <v>0</v>
      </c>
      <c r="Z637" s="158">
        <v>0</v>
      </c>
      <c r="AA637" s="432">
        <v>0</v>
      </c>
      <c r="AB637" s="432">
        <v>0</v>
      </c>
      <c r="AC637" s="432">
        <v>0</v>
      </c>
      <c r="AD637" s="432">
        <v>0</v>
      </c>
      <c r="AE637" s="432">
        <v>0</v>
      </c>
      <c r="AF637" s="432">
        <v>0</v>
      </c>
      <c r="AG637" s="432">
        <v>0</v>
      </c>
      <c r="AH637" s="432">
        <v>0</v>
      </c>
      <c r="AI637" s="158">
        <v>1000340</v>
      </c>
      <c r="AJ637" s="158">
        <v>0</v>
      </c>
      <c r="AK637" s="158">
        <v>1000340</v>
      </c>
      <c r="AL637" s="158">
        <v>1000340</v>
      </c>
      <c r="AM637" s="158">
        <v>3427200</v>
      </c>
      <c r="AN637" s="158">
        <v>1000340</v>
      </c>
      <c r="AO637" s="158">
        <v>1000000</v>
      </c>
      <c r="AP637" s="158">
        <v>1000000</v>
      </c>
      <c r="AQ637" s="432">
        <v>0</v>
      </c>
      <c r="AR637" s="432">
        <v>0</v>
      </c>
      <c r="AS637" s="432">
        <v>0</v>
      </c>
      <c r="AT637" s="432">
        <v>0</v>
      </c>
      <c r="AU637" s="432">
        <v>0</v>
      </c>
      <c r="AV637" s="432">
        <v>0</v>
      </c>
      <c r="AW637" s="432">
        <v>0</v>
      </c>
      <c r="AX637" s="432">
        <v>0</v>
      </c>
      <c r="AY637" s="158">
        <v>0</v>
      </c>
      <c r="AZ637" s="158">
        <v>0</v>
      </c>
      <c r="BA637" s="158">
        <v>0</v>
      </c>
      <c r="BB637" s="158">
        <v>0</v>
      </c>
      <c r="BC637" s="158">
        <v>0</v>
      </c>
      <c r="BD637" s="158">
        <v>0</v>
      </c>
      <c r="BE637" s="158">
        <v>0</v>
      </c>
      <c r="BF637" s="160">
        <v>0</v>
      </c>
      <c r="BG637" s="383">
        <v>2023</v>
      </c>
      <c r="BH637" s="383">
        <v>3</v>
      </c>
      <c r="BI637" s="383">
        <v>9</v>
      </c>
      <c r="BK637" s="147" t="str">
        <f>IF(R637=SUM(Z637,AH637,AP637,AX637,BF637),"○","×")</f>
        <v>○</v>
      </c>
    </row>
    <row r="638" spans="1:63" x14ac:dyDescent="0.2">
      <c r="A638" s="428">
        <v>1861</v>
      </c>
      <c r="B638" s="429"/>
      <c r="C638" s="430"/>
      <c r="D638" s="429"/>
      <c r="E638" s="430"/>
      <c r="F638" s="429"/>
      <c r="G638" s="429"/>
      <c r="H638" s="430"/>
      <c r="I638" s="429"/>
      <c r="J638" s="429"/>
      <c r="K638" s="429"/>
      <c r="L638" s="383"/>
      <c r="M638" s="383" t="s">
        <v>588</v>
      </c>
      <c r="N638" s="383" t="s">
        <v>329</v>
      </c>
      <c r="O638" s="383" t="s">
        <v>450</v>
      </c>
      <c r="P638" s="383" t="s">
        <v>970</v>
      </c>
      <c r="Q638" s="383"/>
      <c r="R638" s="431">
        <v>169000</v>
      </c>
      <c r="S638" s="158">
        <v>0</v>
      </c>
      <c r="T638" s="158">
        <v>0</v>
      </c>
      <c r="U638" s="158">
        <v>0</v>
      </c>
      <c r="V638" s="158">
        <v>0</v>
      </c>
      <c r="W638" s="158">
        <v>0</v>
      </c>
      <c r="X638" s="158">
        <v>0</v>
      </c>
      <c r="Y638" s="158">
        <v>0</v>
      </c>
      <c r="Z638" s="158">
        <v>0</v>
      </c>
      <c r="AA638" s="432">
        <v>0</v>
      </c>
      <c r="AB638" s="432">
        <v>0</v>
      </c>
      <c r="AC638" s="432">
        <v>0</v>
      </c>
      <c r="AD638" s="432">
        <v>0</v>
      </c>
      <c r="AE638" s="432">
        <v>0</v>
      </c>
      <c r="AF638" s="432">
        <v>0</v>
      </c>
      <c r="AG638" s="432">
        <v>0</v>
      </c>
      <c r="AH638" s="432">
        <v>0</v>
      </c>
      <c r="AI638" s="158">
        <v>169565</v>
      </c>
      <c r="AJ638" s="158">
        <v>0</v>
      </c>
      <c r="AK638" s="158">
        <v>169565</v>
      </c>
      <c r="AL638" s="158">
        <v>169565</v>
      </c>
      <c r="AM638" s="158">
        <v>2592000</v>
      </c>
      <c r="AN638" s="158">
        <v>169565</v>
      </c>
      <c r="AO638" s="158">
        <v>169565</v>
      </c>
      <c r="AP638" s="158">
        <v>169000</v>
      </c>
      <c r="AQ638" s="432">
        <v>0</v>
      </c>
      <c r="AR638" s="432">
        <v>0</v>
      </c>
      <c r="AS638" s="432">
        <v>0</v>
      </c>
      <c r="AT638" s="432">
        <v>0</v>
      </c>
      <c r="AU638" s="432">
        <v>0</v>
      </c>
      <c r="AV638" s="432">
        <v>0</v>
      </c>
      <c r="AW638" s="432">
        <v>0</v>
      </c>
      <c r="AX638" s="432">
        <v>0</v>
      </c>
      <c r="AY638" s="158">
        <v>0</v>
      </c>
      <c r="AZ638" s="158">
        <v>0</v>
      </c>
      <c r="BA638" s="158">
        <v>0</v>
      </c>
      <c r="BB638" s="158">
        <v>0</v>
      </c>
      <c r="BC638" s="158">
        <v>0</v>
      </c>
      <c r="BD638" s="158">
        <v>0</v>
      </c>
      <c r="BE638" s="158">
        <v>0</v>
      </c>
      <c r="BF638" s="160">
        <v>0</v>
      </c>
      <c r="BG638" s="383">
        <v>2023</v>
      </c>
      <c r="BH638" s="383">
        <v>3</v>
      </c>
      <c r="BI638" s="383">
        <v>9</v>
      </c>
      <c r="BK638" s="147" t="str">
        <f>IF(R638=SUM(Z638,AH638,AP638,AX638,BF638),"○","×")</f>
        <v>○</v>
      </c>
    </row>
    <row r="639" spans="1:63" x14ac:dyDescent="0.2">
      <c r="A639" s="428">
        <v>1862</v>
      </c>
      <c r="B639" s="429"/>
      <c r="C639" s="430"/>
      <c r="D639" s="429"/>
      <c r="E639" s="430"/>
      <c r="F639" s="429"/>
      <c r="G639" s="429"/>
      <c r="H639" s="430"/>
      <c r="I639" s="429"/>
      <c r="J639" s="429"/>
      <c r="K639" s="429"/>
      <c r="L639" s="383"/>
      <c r="M639" s="383" t="s">
        <v>976</v>
      </c>
      <c r="N639" s="383" t="s">
        <v>977</v>
      </c>
      <c r="O639" s="383" t="s">
        <v>701</v>
      </c>
      <c r="P639" s="383" t="s">
        <v>970</v>
      </c>
      <c r="Q639" s="383"/>
      <c r="R639" s="431">
        <v>3098000</v>
      </c>
      <c r="S639" s="158">
        <v>0</v>
      </c>
      <c r="T639" s="158">
        <v>0</v>
      </c>
      <c r="U639" s="158">
        <v>0</v>
      </c>
      <c r="V639" s="158">
        <v>0</v>
      </c>
      <c r="W639" s="158">
        <v>0</v>
      </c>
      <c r="X639" s="158">
        <v>0</v>
      </c>
      <c r="Y639" s="158">
        <v>0</v>
      </c>
      <c r="Z639" s="158">
        <v>0</v>
      </c>
      <c r="AA639" s="432">
        <v>0</v>
      </c>
      <c r="AB639" s="432">
        <v>0</v>
      </c>
      <c r="AC639" s="432">
        <v>0</v>
      </c>
      <c r="AD639" s="432">
        <v>0</v>
      </c>
      <c r="AE639" s="432">
        <v>0</v>
      </c>
      <c r="AF639" s="432">
        <v>0</v>
      </c>
      <c r="AG639" s="432">
        <v>0</v>
      </c>
      <c r="AH639" s="432">
        <v>0</v>
      </c>
      <c r="AI639" s="158">
        <v>3098710</v>
      </c>
      <c r="AJ639" s="158">
        <v>0</v>
      </c>
      <c r="AK639" s="158">
        <v>3098710</v>
      </c>
      <c r="AL639" s="158">
        <v>3098710</v>
      </c>
      <c r="AM639" s="158">
        <v>3098710</v>
      </c>
      <c r="AN639" s="158">
        <v>3098710</v>
      </c>
      <c r="AO639" s="158">
        <v>3098000</v>
      </c>
      <c r="AP639" s="158">
        <v>3098000</v>
      </c>
      <c r="AQ639" s="432">
        <v>0</v>
      </c>
      <c r="AR639" s="432">
        <v>0</v>
      </c>
      <c r="AS639" s="432">
        <v>0</v>
      </c>
      <c r="AT639" s="432">
        <v>0</v>
      </c>
      <c r="AU639" s="432">
        <v>0</v>
      </c>
      <c r="AV639" s="432">
        <v>0</v>
      </c>
      <c r="AW639" s="432">
        <v>0</v>
      </c>
      <c r="AX639" s="432">
        <v>0</v>
      </c>
      <c r="AY639" s="158">
        <v>0</v>
      </c>
      <c r="AZ639" s="158">
        <v>0</v>
      </c>
      <c r="BA639" s="158">
        <v>0</v>
      </c>
      <c r="BB639" s="158">
        <v>0</v>
      </c>
      <c r="BC639" s="158">
        <v>0</v>
      </c>
      <c r="BD639" s="158">
        <v>0</v>
      </c>
      <c r="BE639" s="158">
        <v>0</v>
      </c>
      <c r="BF639" s="160">
        <v>0</v>
      </c>
      <c r="BG639" s="383">
        <v>2023</v>
      </c>
      <c r="BH639" s="383">
        <v>3</v>
      </c>
      <c r="BI639" s="383">
        <v>9</v>
      </c>
      <c r="BK639" s="147" t="str">
        <f>IF(R639=SUM(Z639,AH639,AP639,AX639,BF639),"○","×")</f>
        <v>○</v>
      </c>
    </row>
    <row r="640" spans="1:63" x14ac:dyDescent="0.2">
      <c r="A640" s="428">
        <v>1863</v>
      </c>
      <c r="B640" s="429"/>
      <c r="C640" s="430"/>
      <c r="D640" s="429"/>
      <c r="E640" s="430"/>
      <c r="F640" s="429"/>
      <c r="G640" s="429"/>
      <c r="H640" s="430"/>
      <c r="I640" s="429"/>
      <c r="J640" s="429"/>
      <c r="K640" s="429"/>
      <c r="L640" s="383"/>
      <c r="M640" s="383" t="s">
        <v>978</v>
      </c>
      <c r="N640" s="383" t="s">
        <v>974</v>
      </c>
      <c r="O640" s="383" t="s">
        <v>979</v>
      </c>
      <c r="P640" s="383" t="s">
        <v>970</v>
      </c>
      <c r="Q640" s="383"/>
      <c r="R640" s="431">
        <v>100000</v>
      </c>
      <c r="S640" s="158">
        <v>0</v>
      </c>
      <c r="T640" s="158">
        <v>0</v>
      </c>
      <c r="U640" s="158">
        <v>0</v>
      </c>
      <c r="V640" s="158">
        <v>0</v>
      </c>
      <c r="W640" s="158">
        <v>0</v>
      </c>
      <c r="X640" s="158">
        <v>0</v>
      </c>
      <c r="Y640" s="158">
        <v>0</v>
      </c>
      <c r="Z640" s="158">
        <v>0</v>
      </c>
      <c r="AA640" s="432">
        <v>0</v>
      </c>
      <c r="AB640" s="432">
        <v>0</v>
      </c>
      <c r="AC640" s="432">
        <v>0</v>
      </c>
      <c r="AD640" s="432">
        <v>0</v>
      </c>
      <c r="AE640" s="432">
        <v>0</v>
      </c>
      <c r="AF640" s="432">
        <v>0</v>
      </c>
      <c r="AG640" s="432">
        <v>0</v>
      </c>
      <c r="AH640" s="432">
        <v>0</v>
      </c>
      <c r="AI640" s="158">
        <v>100980</v>
      </c>
      <c r="AJ640" s="158">
        <v>0</v>
      </c>
      <c r="AK640" s="158">
        <v>100980</v>
      </c>
      <c r="AL640" s="158">
        <v>100980</v>
      </c>
      <c r="AM640" s="158">
        <v>2520000</v>
      </c>
      <c r="AN640" s="158">
        <v>100980</v>
      </c>
      <c r="AO640" s="158">
        <v>100000</v>
      </c>
      <c r="AP640" s="158">
        <v>100000</v>
      </c>
      <c r="AQ640" s="432">
        <v>0</v>
      </c>
      <c r="AR640" s="432">
        <v>0</v>
      </c>
      <c r="AS640" s="432">
        <v>0</v>
      </c>
      <c r="AT640" s="432">
        <v>0</v>
      </c>
      <c r="AU640" s="432">
        <v>0</v>
      </c>
      <c r="AV640" s="432">
        <v>0</v>
      </c>
      <c r="AW640" s="432">
        <v>0</v>
      </c>
      <c r="AX640" s="432">
        <v>0</v>
      </c>
      <c r="AY640" s="158">
        <v>0</v>
      </c>
      <c r="AZ640" s="158">
        <v>0</v>
      </c>
      <c r="BA640" s="158">
        <v>0</v>
      </c>
      <c r="BB640" s="158">
        <v>0</v>
      </c>
      <c r="BC640" s="158">
        <v>0</v>
      </c>
      <c r="BD640" s="158">
        <v>0</v>
      </c>
      <c r="BE640" s="158">
        <v>0</v>
      </c>
      <c r="BF640" s="160">
        <v>0</v>
      </c>
      <c r="BG640" s="383">
        <v>2023</v>
      </c>
      <c r="BH640" s="383">
        <v>3</v>
      </c>
      <c r="BI640" s="383">
        <v>9</v>
      </c>
      <c r="BK640" s="147" t="str">
        <f>IF(R640=SUM(Z640,AH640,AP640,AX640,BF640),"○","×")</f>
        <v>○</v>
      </c>
    </row>
    <row r="641" spans="1:63" x14ac:dyDescent="0.2">
      <c r="A641" s="428">
        <v>1865</v>
      </c>
      <c r="B641" s="429"/>
      <c r="C641" s="430"/>
      <c r="D641" s="429"/>
      <c r="E641" s="430"/>
      <c r="F641" s="429"/>
      <c r="G641" s="429"/>
      <c r="H641" s="430"/>
      <c r="I641" s="429"/>
      <c r="J641" s="429"/>
      <c r="K641" s="429"/>
      <c r="L641" s="383"/>
      <c r="M641" s="383" t="s">
        <v>405</v>
      </c>
      <c r="N641" s="383" t="s">
        <v>340</v>
      </c>
      <c r="O641" s="383" t="s">
        <v>406</v>
      </c>
      <c r="P641" s="383" t="s">
        <v>970</v>
      </c>
      <c r="Q641" s="383"/>
      <c r="R641" s="431">
        <v>45000</v>
      </c>
      <c r="S641" s="158">
        <v>0</v>
      </c>
      <c r="T641" s="158">
        <v>0</v>
      </c>
      <c r="U641" s="158">
        <v>0</v>
      </c>
      <c r="V641" s="158">
        <v>0</v>
      </c>
      <c r="W641" s="158">
        <v>0</v>
      </c>
      <c r="X641" s="158">
        <v>0</v>
      </c>
      <c r="Y641" s="158">
        <v>0</v>
      </c>
      <c r="Z641" s="158">
        <v>0</v>
      </c>
      <c r="AA641" s="432">
        <v>0</v>
      </c>
      <c r="AB641" s="432">
        <v>0</v>
      </c>
      <c r="AC641" s="432">
        <v>0</v>
      </c>
      <c r="AD641" s="432">
        <v>0</v>
      </c>
      <c r="AE641" s="432">
        <v>0</v>
      </c>
      <c r="AF641" s="432">
        <v>0</v>
      </c>
      <c r="AG641" s="432">
        <v>0</v>
      </c>
      <c r="AH641" s="432">
        <v>0</v>
      </c>
      <c r="AI641" s="158">
        <v>45276</v>
      </c>
      <c r="AJ641" s="158">
        <v>0</v>
      </c>
      <c r="AK641" s="158">
        <v>45276</v>
      </c>
      <c r="AL641" s="158">
        <v>45276</v>
      </c>
      <c r="AM641" s="158">
        <v>1425600</v>
      </c>
      <c r="AN641" s="158">
        <v>45276</v>
      </c>
      <c r="AO641" s="158">
        <v>45000</v>
      </c>
      <c r="AP641" s="158">
        <v>45000</v>
      </c>
      <c r="AQ641" s="432">
        <v>0</v>
      </c>
      <c r="AR641" s="432">
        <v>0</v>
      </c>
      <c r="AS641" s="432">
        <v>0</v>
      </c>
      <c r="AT641" s="432">
        <v>0</v>
      </c>
      <c r="AU641" s="432">
        <v>0</v>
      </c>
      <c r="AV641" s="432">
        <v>0</v>
      </c>
      <c r="AW641" s="432">
        <v>0</v>
      </c>
      <c r="AX641" s="432">
        <v>0</v>
      </c>
      <c r="AY641" s="158">
        <v>0</v>
      </c>
      <c r="AZ641" s="158">
        <v>0</v>
      </c>
      <c r="BA641" s="158">
        <v>0</v>
      </c>
      <c r="BB641" s="158">
        <v>0</v>
      </c>
      <c r="BC641" s="158">
        <v>0</v>
      </c>
      <c r="BD641" s="158">
        <v>0</v>
      </c>
      <c r="BE641" s="158">
        <v>0</v>
      </c>
      <c r="BF641" s="425">
        <v>0</v>
      </c>
      <c r="BG641" s="383">
        <v>2023</v>
      </c>
      <c r="BH641" s="383">
        <v>3</v>
      </c>
      <c r="BI641" s="383">
        <v>9</v>
      </c>
      <c r="BK641" s="147" t="str">
        <f>IF(R641=SUM(Z641,AH641,AP641,AX641,BF641),"○","×")</f>
        <v>○</v>
      </c>
    </row>
    <row r="642" spans="1:63" x14ac:dyDescent="0.2">
      <c r="A642" s="428">
        <v>1866</v>
      </c>
      <c r="B642" s="429"/>
      <c r="C642" s="430"/>
      <c r="D642" s="429"/>
      <c r="E642" s="430"/>
      <c r="F642" s="429"/>
      <c r="G642" s="429"/>
      <c r="H642" s="430"/>
      <c r="I642" s="429"/>
      <c r="J642" s="429"/>
      <c r="K642" s="429"/>
      <c r="L642" s="383"/>
      <c r="M642" s="383" t="s">
        <v>707</v>
      </c>
      <c r="N642" s="383" t="s">
        <v>974</v>
      </c>
      <c r="O642" s="383" t="s">
        <v>502</v>
      </c>
      <c r="P642" s="383" t="s">
        <v>970</v>
      </c>
      <c r="R642" s="431">
        <v>2000</v>
      </c>
      <c r="S642" s="158">
        <v>0</v>
      </c>
      <c r="T642" s="158">
        <v>0</v>
      </c>
      <c r="U642" s="158">
        <v>0</v>
      </c>
      <c r="V642" s="158">
        <v>0</v>
      </c>
      <c r="W642" s="158">
        <v>0</v>
      </c>
      <c r="X642" s="158">
        <v>0</v>
      </c>
      <c r="Y642" s="158">
        <v>0</v>
      </c>
      <c r="Z642" s="158">
        <v>0</v>
      </c>
      <c r="AA642" s="432">
        <v>0</v>
      </c>
      <c r="AB642" s="432">
        <v>0</v>
      </c>
      <c r="AC642" s="432">
        <v>0</v>
      </c>
      <c r="AD642" s="432">
        <v>0</v>
      </c>
      <c r="AE642" s="432">
        <v>0</v>
      </c>
      <c r="AF642" s="432">
        <v>0</v>
      </c>
      <c r="AG642" s="432">
        <v>0</v>
      </c>
      <c r="AH642" s="432">
        <v>0</v>
      </c>
      <c r="AI642" s="158">
        <v>2672</v>
      </c>
      <c r="AJ642" s="158">
        <v>0</v>
      </c>
      <c r="AK642" s="158">
        <v>2672</v>
      </c>
      <c r="AL642" s="158">
        <v>2672</v>
      </c>
      <c r="AM642" s="158">
        <v>864000</v>
      </c>
      <c r="AN642" s="158">
        <v>2672</v>
      </c>
      <c r="AO642" s="158">
        <v>2000</v>
      </c>
      <c r="AP642" s="158">
        <v>2000</v>
      </c>
      <c r="AQ642" s="432">
        <v>0</v>
      </c>
      <c r="AR642" s="432">
        <v>0</v>
      </c>
      <c r="AS642" s="432">
        <v>0</v>
      </c>
      <c r="AT642" s="432">
        <v>0</v>
      </c>
      <c r="AU642" s="432">
        <v>0</v>
      </c>
      <c r="AV642" s="432">
        <v>0</v>
      </c>
      <c r="AW642" s="432">
        <v>0</v>
      </c>
      <c r="AX642" s="432">
        <v>0</v>
      </c>
      <c r="AY642" s="158">
        <v>0</v>
      </c>
      <c r="AZ642" s="158">
        <v>0</v>
      </c>
      <c r="BA642" s="158">
        <v>0</v>
      </c>
      <c r="BB642" s="158">
        <v>0</v>
      </c>
      <c r="BC642" s="158">
        <v>0</v>
      </c>
      <c r="BD642" s="158">
        <v>0</v>
      </c>
      <c r="BE642" s="158">
        <v>0</v>
      </c>
      <c r="BF642" s="158">
        <v>0</v>
      </c>
      <c r="BG642" s="383">
        <v>2023</v>
      </c>
      <c r="BH642" s="383">
        <v>3</v>
      </c>
      <c r="BI642" s="383">
        <v>9</v>
      </c>
      <c r="BK642" s="147" t="str">
        <f>IF(R642=SUM(Z642,AH642,AP642,AX642,BF642),"○","×")</f>
        <v>○</v>
      </c>
    </row>
    <row r="643" spans="1:63" x14ac:dyDescent="0.2">
      <c r="A643" s="428">
        <v>1867</v>
      </c>
      <c r="B643" s="429"/>
      <c r="C643" s="430"/>
      <c r="D643" s="429"/>
      <c r="E643" s="430"/>
      <c r="F643" s="429"/>
      <c r="G643" s="429"/>
      <c r="H643" s="430"/>
      <c r="I643" s="429"/>
      <c r="J643" s="429"/>
      <c r="K643" s="429"/>
      <c r="L643" s="383"/>
      <c r="M643" s="383" t="s">
        <v>980</v>
      </c>
      <c r="N643" s="383" t="s">
        <v>447</v>
      </c>
      <c r="O643" s="383" t="s">
        <v>536</v>
      </c>
      <c r="P643" s="383" t="s">
        <v>970</v>
      </c>
      <c r="R643" s="431">
        <v>294000</v>
      </c>
      <c r="S643" s="158">
        <v>0</v>
      </c>
      <c r="T643" s="158">
        <v>0</v>
      </c>
      <c r="U643" s="158">
        <v>0</v>
      </c>
      <c r="V643" s="158">
        <v>0</v>
      </c>
      <c r="W643" s="158">
        <v>0</v>
      </c>
      <c r="X643" s="158">
        <v>0</v>
      </c>
      <c r="Y643" s="158">
        <v>0</v>
      </c>
      <c r="Z643" s="158">
        <v>0</v>
      </c>
      <c r="AA643" s="432">
        <v>0</v>
      </c>
      <c r="AB643" s="432">
        <v>0</v>
      </c>
      <c r="AC643" s="432">
        <v>0</v>
      </c>
      <c r="AD643" s="432">
        <v>0</v>
      </c>
      <c r="AE643" s="432">
        <v>0</v>
      </c>
      <c r="AF643" s="432">
        <v>0</v>
      </c>
      <c r="AG643" s="432">
        <v>0</v>
      </c>
      <c r="AH643" s="432">
        <v>0</v>
      </c>
      <c r="AI643" s="158">
        <v>294250</v>
      </c>
      <c r="AJ643" s="158">
        <v>0</v>
      </c>
      <c r="AK643" s="158">
        <v>294250</v>
      </c>
      <c r="AL643" s="158">
        <v>294250</v>
      </c>
      <c r="AM643" s="158">
        <v>842400</v>
      </c>
      <c r="AN643" s="158">
        <v>294250</v>
      </c>
      <c r="AO643" s="158">
        <v>294000</v>
      </c>
      <c r="AP643" s="158">
        <v>294000</v>
      </c>
      <c r="AQ643" s="432">
        <v>0</v>
      </c>
      <c r="AR643" s="432">
        <v>0</v>
      </c>
      <c r="AS643" s="432">
        <v>0</v>
      </c>
      <c r="AT643" s="432">
        <v>0</v>
      </c>
      <c r="AU643" s="432">
        <v>0</v>
      </c>
      <c r="AV643" s="432">
        <v>0</v>
      </c>
      <c r="AW643" s="432">
        <v>0</v>
      </c>
      <c r="AX643" s="432">
        <v>0</v>
      </c>
      <c r="AY643" s="158">
        <v>0</v>
      </c>
      <c r="AZ643" s="158">
        <v>0</v>
      </c>
      <c r="BA643" s="158">
        <v>0</v>
      </c>
      <c r="BB643" s="158">
        <v>0</v>
      </c>
      <c r="BC643" s="158">
        <v>0</v>
      </c>
      <c r="BD643" s="158">
        <v>0</v>
      </c>
      <c r="BE643" s="158">
        <v>0</v>
      </c>
      <c r="BF643" s="158">
        <v>0</v>
      </c>
      <c r="BG643" s="383">
        <v>2023</v>
      </c>
      <c r="BH643" s="383">
        <v>3</v>
      </c>
      <c r="BI643" s="383">
        <v>9</v>
      </c>
      <c r="BK643" s="147" t="str">
        <f>IF(R643=SUM(Z643,AH643,AP643,AX643,BF643),"○","×")</f>
        <v>○</v>
      </c>
    </row>
    <row r="644" spans="1:63" x14ac:dyDescent="0.2">
      <c r="A644" s="428">
        <v>1868</v>
      </c>
      <c r="B644" s="429"/>
      <c r="C644" s="430"/>
      <c r="D644" s="429"/>
      <c r="E644" s="430"/>
      <c r="F644" s="429"/>
      <c r="G644" s="429"/>
      <c r="H644" s="430"/>
      <c r="I644" s="429"/>
      <c r="J644" s="429"/>
      <c r="K644" s="429"/>
      <c r="L644" s="383"/>
      <c r="M644" s="383" t="s">
        <v>345</v>
      </c>
      <c r="N644" s="383" t="s">
        <v>974</v>
      </c>
      <c r="O644" s="383" t="s">
        <v>346</v>
      </c>
      <c r="P644" s="383" t="s">
        <v>970</v>
      </c>
      <c r="R644" s="431">
        <v>539000</v>
      </c>
      <c r="S644" s="158">
        <v>0</v>
      </c>
      <c r="T644" s="158">
        <v>0</v>
      </c>
      <c r="U644" s="158">
        <v>0</v>
      </c>
      <c r="V644" s="158">
        <v>0</v>
      </c>
      <c r="W644" s="158">
        <v>0</v>
      </c>
      <c r="X644" s="158">
        <v>0</v>
      </c>
      <c r="Y644" s="158">
        <v>0</v>
      </c>
      <c r="Z644" s="158">
        <v>0</v>
      </c>
      <c r="AA644" s="432">
        <v>0</v>
      </c>
      <c r="AB644" s="432">
        <v>0</v>
      </c>
      <c r="AC644" s="432">
        <v>0</v>
      </c>
      <c r="AD644" s="432">
        <v>0</v>
      </c>
      <c r="AE644" s="432">
        <v>0</v>
      </c>
      <c r="AF644" s="432">
        <v>0</v>
      </c>
      <c r="AG644" s="432">
        <v>0</v>
      </c>
      <c r="AH644" s="432">
        <v>0</v>
      </c>
      <c r="AI644" s="158">
        <v>539660</v>
      </c>
      <c r="AJ644" s="158">
        <v>0</v>
      </c>
      <c r="AK644" s="158">
        <v>539660</v>
      </c>
      <c r="AL644" s="158">
        <v>539660</v>
      </c>
      <c r="AM644" s="158">
        <v>1620000</v>
      </c>
      <c r="AN644" s="158">
        <v>539660</v>
      </c>
      <c r="AO644" s="158">
        <v>539000</v>
      </c>
      <c r="AP644" s="158">
        <v>539000</v>
      </c>
      <c r="AQ644" s="432">
        <v>0</v>
      </c>
      <c r="AR644" s="432">
        <v>0</v>
      </c>
      <c r="AS644" s="432">
        <v>0</v>
      </c>
      <c r="AT644" s="432">
        <v>0</v>
      </c>
      <c r="AU644" s="432">
        <v>0</v>
      </c>
      <c r="AV644" s="432">
        <v>0</v>
      </c>
      <c r="AW644" s="432">
        <v>0</v>
      </c>
      <c r="AX644" s="432">
        <v>0</v>
      </c>
      <c r="AY644" s="158">
        <v>0</v>
      </c>
      <c r="AZ644" s="158">
        <v>0</v>
      </c>
      <c r="BA644" s="158">
        <v>0</v>
      </c>
      <c r="BB644" s="158">
        <v>0</v>
      </c>
      <c r="BC644" s="158">
        <v>0</v>
      </c>
      <c r="BD644" s="158">
        <v>0</v>
      </c>
      <c r="BE644" s="158">
        <v>0</v>
      </c>
      <c r="BF644" s="158">
        <v>0</v>
      </c>
      <c r="BG644" s="383">
        <v>2023</v>
      </c>
      <c r="BH644" s="383">
        <v>3</v>
      </c>
      <c r="BI644" s="383">
        <v>9</v>
      </c>
      <c r="BK644" s="147" t="str">
        <f>IF(R644=SUM(Z644,AH644,AP644,AX644,BF644),"○","×")</f>
        <v>○</v>
      </c>
    </row>
    <row r="645" spans="1:63" x14ac:dyDescent="0.2">
      <c r="A645" s="428">
        <v>1869</v>
      </c>
      <c r="B645" s="429"/>
      <c r="C645" s="430"/>
      <c r="D645" s="429"/>
      <c r="E645" s="430"/>
      <c r="F645" s="429"/>
      <c r="G645" s="429"/>
      <c r="H645" s="430"/>
      <c r="I645" s="429"/>
      <c r="J645" s="429"/>
      <c r="K645" s="429"/>
      <c r="L645" s="383"/>
      <c r="M645" s="383" t="s">
        <v>415</v>
      </c>
      <c r="N645" s="383" t="s">
        <v>329</v>
      </c>
      <c r="O645" s="383" t="s">
        <v>416</v>
      </c>
      <c r="P645" s="383" t="s">
        <v>970</v>
      </c>
      <c r="R645" s="431">
        <v>1331000</v>
      </c>
      <c r="S645" s="158">
        <v>0</v>
      </c>
      <c r="T645" s="158">
        <v>0</v>
      </c>
      <c r="U645" s="158">
        <v>0</v>
      </c>
      <c r="V645" s="158">
        <v>0</v>
      </c>
      <c r="W645" s="158">
        <v>0</v>
      </c>
      <c r="X645" s="158">
        <v>0</v>
      </c>
      <c r="Y645" s="158">
        <v>0</v>
      </c>
      <c r="Z645" s="158">
        <v>0</v>
      </c>
      <c r="AA645" s="432">
        <v>0</v>
      </c>
      <c r="AB645" s="432">
        <v>0</v>
      </c>
      <c r="AC645" s="432">
        <v>0</v>
      </c>
      <c r="AD645" s="432">
        <v>0</v>
      </c>
      <c r="AE645" s="432">
        <v>0</v>
      </c>
      <c r="AF645" s="432">
        <v>0</v>
      </c>
      <c r="AG645" s="432">
        <v>0</v>
      </c>
      <c r="AH645" s="432">
        <v>0</v>
      </c>
      <c r="AI645" s="158">
        <v>0</v>
      </c>
      <c r="AJ645" s="158">
        <v>0</v>
      </c>
      <c r="AK645" s="158">
        <v>0</v>
      </c>
      <c r="AL645" s="158">
        <v>0</v>
      </c>
      <c r="AM645" s="158">
        <v>0</v>
      </c>
      <c r="AN645" s="158">
        <v>0</v>
      </c>
      <c r="AO645" s="158">
        <v>0</v>
      </c>
      <c r="AP645" s="158">
        <v>0</v>
      </c>
      <c r="AQ645" s="432">
        <v>0</v>
      </c>
      <c r="AR645" s="432">
        <v>0</v>
      </c>
      <c r="AS645" s="432">
        <v>0</v>
      </c>
      <c r="AT645" s="432">
        <v>0</v>
      </c>
      <c r="AU645" s="432">
        <v>0</v>
      </c>
      <c r="AV645" s="432">
        <v>0</v>
      </c>
      <c r="AW645" s="432">
        <v>0</v>
      </c>
      <c r="AX645" s="432">
        <v>0</v>
      </c>
      <c r="AY645" s="158">
        <v>1331000</v>
      </c>
      <c r="AZ645" s="158">
        <v>0</v>
      </c>
      <c r="BA645" s="158">
        <v>1331000</v>
      </c>
      <c r="BB645" s="158">
        <v>1331000</v>
      </c>
      <c r="BC645" s="158">
        <v>1331000</v>
      </c>
      <c r="BD645" s="158">
        <v>1331000</v>
      </c>
      <c r="BE645" s="158">
        <v>1331000</v>
      </c>
      <c r="BF645" s="158">
        <v>1331000</v>
      </c>
      <c r="BG645" s="383">
        <v>2023</v>
      </c>
      <c r="BH645" s="383">
        <v>3</v>
      </c>
      <c r="BI645" s="383">
        <v>9</v>
      </c>
      <c r="BK645" s="147" t="str">
        <f>IF(R645=SUM(Z645,AH645,AP645,AX645,BF645),"○","×")</f>
        <v>○</v>
      </c>
    </row>
    <row r="646" spans="1:63" x14ac:dyDescent="0.2">
      <c r="A646" s="387">
        <v>1871</v>
      </c>
      <c r="K646" s="395"/>
      <c r="L646" s="188"/>
      <c r="M646" s="188" t="s">
        <v>401</v>
      </c>
      <c r="N646" s="188" t="s">
        <v>402</v>
      </c>
      <c r="O646" s="188" t="s">
        <v>333</v>
      </c>
      <c r="P646" s="188" t="s">
        <v>970</v>
      </c>
      <c r="R646" s="157">
        <v>261000</v>
      </c>
      <c r="S646" s="158">
        <v>0</v>
      </c>
      <c r="T646" s="158">
        <v>0</v>
      </c>
      <c r="U646" s="158">
        <v>0</v>
      </c>
      <c r="V646" s="158">
        <v>0</v>
      </c>
      <c r="W646" s="158">
        <v>0</v>
      </c>
      <c r="X646" s="158">
        <v>0</v>
      </c>
      <c r="Y646" s="158">
        <v>0</v>
      </c>
      <c r="Z646" s="158">
        <v>0</v>
      </c>
      <c r="AA646" s="159">
        <v>0</v>
      </c>
      <c r="AB646" s="159">
        <v>0</v>
      </c>
      <c r="AC646" s="159">
        <v>0</v>
      </c>
      <c r="AD646" s="159">
        <v>0</v>
      </c>
      <c r="AE646" s="159">
        <v>0</v>
      </c>
      <c r="AF646" s="159">
        <v>0</v>
      </c>
      <c r="AG646" s="159">
        <v>0</v>
      </c>
      <c r="AH646" s="159">
        <v>0</v>
      </c>
      <c r="AI646" s="158">
        <v>261278</v>
      </c>
      <c r="AJ646" s="158">
        <v>0</v>
      </c>
      <c r="AK646" s="158">
        <v>261278</v>
      </c>
      <c r="AL646" s="158">
        <v>1998000</v>
      </c>
      <c r="AM646" s="158">
        <v>261278</v>
      </c>
      <c r="AN646" s="158">
        <v>261278</v>
      </c>
      <c r="AO646" s="158">
        <v>261000</v>
      </c>
      <c r="AP646" s="158">
        <v>261000</v>
      </c>
      <c r="AQ646" s="159">
        <v>0</v>
      </c>
      <c r="AR646" s="159">
        <v>0</v>
      </c>
      <c r="AS646" s="159">
        <v>0</v>
      </c>
      <c r="AT646" s="159">
        <v>0</v>
      </c>
      <c r="AU646" s="159">
        <v>0</v>
      </c>
      <c r="AV646" s="159">
        <v>0</v>
      </c>
      <c r="AW646" s="159">
        <v>0</v>
      </c>
      <c r="AX646" s="159">
        <v>0</v>
      </c>
      <c r="AY646" s="158">
        <v>0</v>
      </c>
      <c r="AZ646" s="158">
        <v>0</v>
      </c>
      <c r="BA646" s="158">
        <v>0</v>
      </c>
      <c r="BB646" s="158">
        <v>0</v>
      </c>
      <c r="BC646" s="158">
        <v>0</v>
      </c>
      <c r="BD646" s="158">
        <v>0</v>
      </c>
      <c r="BE646" s="158">
        <v>0</v>
      </c>
      <c r="BF646" s="158">
        <v>0</v>
      </c>
      <c r="BG646" s="427">
        <v>2023</v>
      </c>
      <c r="BH646" s="424">
        <v>3</v>
      </c>
      <c r="BI646" s="424">
        <v>23</v>
      </c>
      <c r="BK646" s="147" t="str">
        <f>IF(R646=SUM(Z646,AH646,AP646,AX646,BF646),"○","×")</f>
        <v>○</v>
      </c>
    </row>
    <row r="647" spans="1:63" x14ac:dyDescent="0.2">
      <c r="A647" s="387">
        <v>1872</v>
      </c>
      <c r="K647" s="395"/>
      <c r="L647" s="188"/>
      <c r="M647" s="188" t="s">
        <v>322</v>
      </c>
      <c r="N647" s="188" t="s">
        <v>323</v>
      </c>
      <c r="O647" s="188" t="s">
        <v>324</v>
      </c>
      <c r="P647" s="188" t="s">
        <v>970</v>
      </c>
      <c r="R647" s="157">
        <v>52000</v>
      </c>
      <c r="S647" s="158">
        <v>0</v>
      </c>
      <c r="T647" s="158">
        <v>0</v>
      </c>
      <c r="U647" s="158">
        <v>0</v>
      </c>
      <c r="V647" s="158">
        <v>0</v>
      </c>
      <c r="W647" s="158">
        <v>0</v>
      </c>
      <c r="X647" s="158">
        <v>0</v>
      </c>
      <c r="Y647" s="158">
        <v>0</v>
      </c>
      <c r="Z647" s="158">
        <v>0</v>
      </c>
      <c r="AA647" s="159">
        <v>0</v>
      </c>
      <c r="AB647" s="159">
        <v>0</v>
      </c>
      <c r="AC647" s="159">
        <v>0</v>
      </c>
      <c r="AD647" s="159">
        <v>0</v>
      </c>
      <c r="AE647" s="159">
        <v>0</v>
      </c>
      <c r="AF647" s="159">
        <v>0</v>
      </c>
      <c r="AG647" s="159">
        <v>0</v>
      </c>
      <c r="AH647" s="159">
        <v>0</v>
      </c>
      <c r="AI647" s="158">
        <v>44888</v>
      </c>
      <c r="AJ647" s="158">
        <v>0</v>
      </c>
      <c r="AK647" s="158">
        <v>44888</v>
      </c>
      <c r="AL647" s="158">
        <v>1328400</v>
      </c>
      <c r="AM647" s="158">
        <v>44888</v>
      </c>
      <c r="AN647" s="158">
        <v>44888</v>
      </c>
      <c r="AO647" s="158">
        <v>44000</v>
      </c>
      <c r="AP647" s="158">
        <v>44000</v>
      </c>
      <c r="AQ647" s="159">
        <v>0</v>
      </c>
      <c r="AR647" s="159">
        <v>0</v>
      </c>
      <c r="AS647" s="159">
        <v>0</v>
      </c>
      <c r="AT647" s="159">
        <v>0</v>
      </c>
      <c r="AU647" s="159">
        <v>0</v>
      </c>
      <c r="AV647" s="159">
        <v>0</v>
      </c>
      <c r="AW647" s="159">
        <v>0</v>
      </c>
      <c r="AX647" s="159">
        <v>0</v>
      </c>
      <c r="AY647" s="158">
        <v>8838</v>
      </c>
      <c r="AZ647" s="158">
        <v>0</v>
      </c>
      <c r="BA647" s="158">
        <v>8838</v>
      </c>
      <c r="BB647" s="158">
        <v>8838</v>
      </c>
      <c r="BC647" s="158">
        <v>8838</v>
      </c>
      <c r="BD647" s="158">
        <v>8838</v>
      </c>
      <c r="BE647" s="158">
        <v>8000</v>
      </c>
      <c r="BF647" s="158">
        <v>8000</v>
      </c>
      <c r="BG647" s="427">
        <v>2023</v>
      </c>
      <c r="BH647" s="424">
        <v>3</v>
      </c>
      <c r="BI647" s="424">
        <v>23</v>
      </c>
      <c r="BK647" s="147" t="str">
        <f>IF(R647=SUM(Z647,AH647,AP647,AX647,BF647),"○","×")</f>
        <v>○</v>
      </c>
    </row>
    <row r="648" spans="1:63" x14ac:dyDescent="0.2">
      <c r="A648" s="387">
        <v>1874</v>
      </c>
      <c r="K648" s="395"/>
      <c r="L648" s="188"/>
      <c r="M648" s="188" t="s">
        <v>967</v>
      </c>
      <c r="N648" s="188" t="s">
        <v>384</v>
      </c>
      <c r="O648" s="188" t="s">
        <v>968</v>
      </c>
      <c r="P648" s="188" t="s">
        <v>970</v>
      </c>
      <c r="R648" s="157">
        <v>4427000</v>
      </c>
      <c r="S648" s="158">
        <v>0</v>
      </c>
      <c r="T648" s="158">
        <v>0</v>
      </c>
      <c r="U648" s="158">
        <v>0</v>
      </c>
      <c r="V648" s="158">
        <v>0</v>
      </c>
      <c r="W648" s="158">
        <v>0</v>
      </c>
      <c r="X648" s="158">
        <v>0</v>
      </c>
      <c r="Y648" s="158">
        <v>0</v>
      </c>
      <c r="Z648" s="158">
        <v>0</v>
      </c>
      <c r="AA648" s="159">
        <v>0</v>
      </c>
      <c r="AB648" s="159">
        <v>0</v>
      </c>
      <c r="AC648" s="159">
        <v>0</v>
      </c>
      <c r="AD648" s="159">
        <v>0</v>
      </c>
      <c r="AE648" s="159">
        <v>0</v>
      </c>
      <c r="AF648" s="159">
        <v>0</v>
      </c>
      <c r="AG648" s="159">
        <v>0</v>
      </c>
      <c r="AH648" s="159">
        <v>0</v>
      </c>
      <c r="AI648" s="158">
        <v>4427140</v>
      </c>
      <c r="AJ648" s="158">
        <v>0</v>
      </c>
      <c r="AK648" s="158">
        <v>4427140</v>
      </c>
      <c r="AL648" s="158">
        <v>26208000</v>
      </c>
      <c r="AM648" s="158">
        <v>4427140</v>
      </c>
      <c r="AN648" s="158">
        <v>4427140</v>
      </c>
      <c r="AO648" s="158">
        <v>4427000</v>
      </c>
      <c r="AP648" s="158">
        <v>4427000</v>
      </c>
      <c r="AQ648" s="159">
        <v>0</v>
      </c>
      <c r="AR648" s="159">
        <v>0</v>
      </c>
      <c r="AS648" s="159">
        <v>0</v>
      </c>
      <c r="AT648" s="159">
        <v>0</v>
      </c>
      <c r="AU648" s="159">
        <v>0</v>
      </c>
      <c r="AV648" s="159">
        <v>0</v>
      </c>
      <c r="AW648" s="159">
        <v>0</v>
      </c>
      <c r="AX648" s="159">
        <v>0</v>
      </c>
      <c r="AY648" s="158">
        <v>0</v>
      </c>
      <c r="AZ648" s="158">
        <v>0</v>
      </c>
      <c r="BA648" s="158">
        <v>0</v>
      </c>
      <c r="BB648" s="158">
        <v>0</v>
      </c>
      <c r="BC648" s="158">
        <v>0</v>
      </c>
      <c r="BD648" s="158">
        <v>0</v>
      </c>
      <c r="BE648" s="158">
        <v>0</v>
      </c>
      <c r="BF648" s="158">
        <v>0</v>
      </c>
      <c r="BG648" s="427">
        <v>2023</v>
      </c>
      <c r="BH648" s="424">
        <v>3</v>
      </c>
      <c r="BI648" s="424">
        <v>23</v>
      </c>
      <c r="BK648" s="147" t="str">
        <f>IF(R648=SUM(Z648,AH648,AP648,AX648,BF648),"○","×")</f>
        <v>○</v>
      </c>
    </row>
    <row r="649" spans="1:63" x14ac:dyDescent="0.2">
      <c r="A649" s="387">
        <v>1875</v>
      </c>
      <c r="K649" s="395"/>
      <c r="L649" s="188"/>
      <c r="M649" s="188" t="s">
        <v>322</v>
      </c>
      <c r="N649" s="188" t="s">
        <v>323</v>
      </c>
      <c r="O649" s="188" t="s">
        <v>324</v>
      </c>
      <c r="P649" s="188" t="s">
        <v>970</v>
      </c>
      <c r="R649" s="157">
        <v>2269000</v>
      </c>
      <c r="S649" s="158">
        <v>0</v>
      </c>
      <c r="T649" s="158">
        <v>0</v>
      </c>
      <c r="U649" s="158">
        <v>0</v>
      </c>
      <c r="V649" s="158">
        <v>0</v>
      </c>
      <c r="W649" s="158">
        <v>0</v>
      </c>
      <c r="X649" s="158">
        <v>0</v>
      </c>
      <c r="Y649" s="158">
        <v>0</v>
      </c>
      <c r="Z649" s="158">
        <v>0</v>
      </c>
      <c r="AA649" s="159">
        <v>295020</v>
      </c>
      <c r="AB649" s="159">
        <v>0</v>
      </c>
      <c r="AC649" s="159">
        <v>295020</v>
      </c>
      <c r="AD649" s="159">
        <v>205000</v>
      </c>
      <c r="AE649" s="159">
        <v>205000</v>
      </c>
      <c r="AF649" s="159">
        <v>205000</v>
      </c>
      <c r="AG649" s="159">
        <v>205000</v>
      </c>
      <c r="AH649" s="159">
        <v>205000</v>
      </c>
      <c r="AI649" s="158">
        <v>2064924</v>
      </c>
      <c r="AJ649" s="158">
        <v>0</v>
      </c>
      <c r="AK649" s="158">
        <v>2064924</v>
      </c>
      <c r="AL649" s="158">
        <v>3240000</v>
      </c>
      <c r="AM649" s="158">
        <v>2064924</v>
      </c>
      <c r="AN649" s="158">
        <v>2064924</v>
      </c>
      <c r="AO649" s="158">
        <v>2064000</v>
      </c>
      <c r="AP649" s="158">
        <v>2064000</v>
      </c>
      <c r="AQ649" s="159">
        <v>0</v>
      </c>
      <c r="AR649" s="159">
        <v>0</v>
      </c>
      <c r="AS649" s="159">
        <v>0</v>
      </c>
      <c r="AT649" s="159">
        <v>0</v>
      </c>
      <c r="AU649" s="159">
        <v>0</v>
      </c>
      <c r="AV649" s="159">
        <v>0</v>
      </c>
      <c r="AW649" s="159">
        <v>0</v>
      </c>
      <c r="AX649" s="159">
        <v>0</v>
      </c>
      <c r="AY649" s="158">
        <v>0</v>
      </c>
      <c r="AZ649" s="158">
        <v>0</v>
      </c>
      <c r="BA649" s="158">
        <v>0</v>
      </c>
      <c r="BB649" s="158">
        <v>0</v>
      </c>
      <c r="BC649" s="158">
        <v>0</v>
      </c>
      <c r="BD649" s="158">
        <v>0</v>
      </c>
      <c r="BE649" s="158">
        <v>0</v>
      </c>
      <c r="BF649" s="158">
        <v>0</v>
      </c>
      <c r="BG649" s="427">
        <v>2023</v>
      </c>
      <c r="BH649" s="424">
        <v>3</v>
      </c>
      <c r="BI649" s="424">
        <v>23</v>
      </c>
      <c r="BK649" s="147" t="str">
        <f>IF(R649=SUM(Z649,AH649,AP649,AX649,BF649),"○","×")</f>
        <v>○</v>
      </c>
    </row>
    <row r="650" spans="1:63" x14ac:dyDescent="0.2">
      <c r="A650" s="387">
        <v>1876</v>
      </c>
      <c r="K650" s="395"/>
      <c r="L650" s="188"/>
      <c r="M650" s="188" t="s">
        <v>508</v>
      </c>
      <c r="N650" s="188" t="s">
        <v>329</v>
      </c>
      <c r="O650" s="188" t="s">
        <v>382</v>
      </c>
      <c r="P650" s="188" t="s">
        <v>970</v>
      </c>
      <c r="R650" s="157">
        <v>1598000</v>
      </c>
      <c r="S650" s="158">
        <v>0</v>
      </c>
      <c r="T650" s="158">
        <v>0</v>
      </c>
      <c r="U650" s="158">
        <v>0</v>
      </c>
      <c r="V650" s="158">
        <v>0</v>
      </c>
      <c r="W650" s="158">
        <v>0</v>
      </c>
      <c r="X650" s="158">
        <v>0</v>
      </c>
      <c r="Y650" s="158">
        <v>0</v>
      </c>
      <c r="Z650" s="158">
        <v>0</v>
      </c>
      <c r="AA650" s="159">
        <v>0</v>
      </c>
      <c r="AB650" s="159">
        <v>0</v>
      </c>
      <c r="AC650" s="159">
        <v>0</v>
      </c>
      <c r="AD650" s="159">
        <v>0</v>
      </c>
      <c r="AE650" s="159">
        <v>0</v>
      </c>
      <c r="AF650" s="159">
        <v>0</v>
      </c>
      <c r="AG650" s="159">
        <v>0</v>
      </c>
      <c r="AH650" s="159">
        <v>0</v>
      </c>
      <c r="AI650" s="158">
        <v>993300</v>
      </c>
      <c r="AJ650" s="158">
        <v>0</v>
      </c>
      <c r="AK650" s="158">
        <v>993300</v>
      </c>
      <c r="AL650" s="158">
        <v>2073600</v>
      </c>
      <c r="AM650" s="158">
        <v>993300</v>
      </c>
      <c r="AN650" s="158">
        <v>993300</v>
      </c>
      <c r="AO650" s="158">
        <v>993000</v>
      </c>
      <c r="AP650" s="158">
        <v>993000</v>
      </c>
      <c r="AQ650" s="159">
        <v>0</v>
      </c>
      <c r="AR650" s="159">
        <v>0</v>
      </c>
      <c r="AS650" s="159">
        <v>0</v>
      </c>
      <c r="AT650" s="159">
        <v>0</v>
      </c>
      <c r="AU650" s="159">
        <v>0</v>
      </c>
      <c r="AV650" s="159">
        <v>0</v>
      </c>
      <c r="AW650" s="159">
        <v>0</v>
      </c>
      <c r="AX650" s="159">
        <v>0</v>
      </c>
      <c r="AY650" s="158">
        <v>605000</v>
      </c>
      <c r="AZ650" s="158">
        <v>0</v>
      </c>
      <c r="BA650" s="158">
        <v>605000</v>
      </c>
      <c r="BB650" s="158">
        <v>605000</v>
      </c>
      <c r="BC650" s="158">
        <v>605000</v>
      </c>
      <c r="BD650" s="158">
        <v>605000</v>
      </c>
      <c r="BE650" s="158">
        <v>605000</v>
      </c>
      <c r="BF650" s="158">
        <v>605000</v>
      </c>
      <c r="BG650" s="427">
        <v>2023</v>
      </c>
      <c r="BH650" s="424">
        <v>3</v>
      </c>
      <c r="BI650" s="424">
        <v>23</v>
      </c>
      <c r="BK650" s="147" t="str">
        <f>IF(R650=SUM(Z650,AH650,AP650,AX650,BF650),"○","×")</f>
        <v>○</v>
      </c>
    </row>
    <row r="651" spans="1:63" x14ac:dyDescent="0.2">
      <c r="A651" s="387">
        <v>1877</v>
      </c>
      <c r="K651" s="395"/>
      <c r="L651" s="188"/>
      <c r="M651" s="188" t="s">
        <v>516</v>
      </c>
      <c r="N651" s="188" t="s">
        <v>329</v>
      </c>
      <c r="O651" s="188" t="s">
        <v>517</v>
      </c>
      <c r="P651" s="188" t="s">
        <v>970</v>
      </c>
      <c r="R651" s="157">
        <v>138000</v>
      </c>
      <c r="S651" s="158">
        <v>0</v>
      </c>
      <c r="T651" s="158">
        <v>0</v>
      </c>
      <c r="U651" s="158">
        <v>0</v>
      </c>
      <c r="V651" s="158">
        <v>0</v>
      </c>
      <c r="W651" s="158">
        <v>0</v>
      </c>
      <c r="X651" s="158">
        <v>0</v>
      </c>
      <c r="Y651" s="158">
        <v>0</v>
      </c>
      <c r="Z651" s="158">
        <v>0</v>
      </c>
      <c r="AA651" s="159">
        <v>0</v>
      </c>
      <c r="AB651" s="159">
        <v>0</v>
      </c>
      <c r="AC651" s="159">
        <v>0</v>
      </c>
      <c r="AD651" s="159">
        <v>0</v>
      </c>
      <c r="AE651" s="159">
        <v>0</v>
      </c>
      <c r="AF651" s="159">
        <v>0</v>
      </c>
      <c r="AG651" s="159">
        <v>0</v>
      </c>
      <c r="AH651" s="159">
        <v>0</v>
      </c>
      <c r="AI651" s="158">
        <v>138600</v>
      </c>
      <c r="AJ651" s="158">
        <v>0</v>
      </c>
      <c r="AK651" s="158">
        <v>138600</v>
      </c>
      <c r="AL651" s="158">
        <v>1713600</v>
      </c>
      <c r="AM651" s="158">
        <v>138600</v>
      </c>
      <c r="AN651" s="158">
        <v>138600</v>
      </c>
      <c r="AO651" s="158">
        <v>138000</v>
      </c>
      <c r="AP651" s="158">
        <v>138000</v>
      </c>
      <c r="AQ651" s="159">
        <v>0</v>
      </c>
      <c r="AR651" s="159">
        <v>0</v>
      </c>
      <c r="AS651" s="159">
        <v>0</v>
      </c>
      <c r="AT651" s="159">
        <v>0</v>
      </c>
      <c r="AU651" s="159">
        <v>0</v>
      </c>
      <c r="AV651" s="159">
        <v>0</v>
      </c>
      <c r="AW651" s="159">
        <v>0</v>
      </c>
      <c r="AX651" s="159">
        <v>0</v>
      </c>
      <c r="AY651" s="158">
        <v>0</v>
      </c>
      <c r="AZ651" s="158">
        <v>0</v>
      </c>
      <c r="BA651" s="158">
        <v>0</v>
      </c>
      <c r="BB651" s="158">
        <v>0</v>
      </c>
      <c r="BC651" s="158">
        <v>0</v>
      </c>
      <c r="BD651" s="158">
        <v>0</v>
      </c>
      <c r="BE651" s="158">
        <v>0</v>
      </c>
      <c r="BF651" s="158">
        <v>0</v>
      </c>
      <c r="BG651" s="427">
        <v>2023</v>
      </c>
      <c r="BH651" s="424">
        <v>3</v>
      </c>
      <c r="BI651" s="424">
        <v>23</v>
      </c>
      <c r="BK651" s="147" t="str">
        <f>IF(R651=SUM(Z651,AH651,AP651,AX651,BF651),"○","×")</f>
        <v>○</v>
      </c>
    </row>
    <row r="652" spans="1:63" x14ac:dyDescent="0.2">
      <c r="A652" s="387">
        <v>1878</v>
      </c>
      <c r="K652" s="395"/>
      <c r="L652" s="188"/>
      <c r="M652" s="188" t="s">
        <v>415</v>
      </c>
      <c r="N652" s="188" t="s">
        <v>329</v>
      </c>
      <c r="O652" s="188" t="s">
        <v>416</v>
      </c>
      <c r="P652" s="188" t="s">
        <v>970</v>
      </c>
      <c r="R652" s="157">
        <v>703000</v>
      </c>
      <c r="S652" s="158">
        <v>0</v>
      </c>
      <c r="T652" s="158">
        <v>0</v>
      </c>
      <c r="U652" s="158">
        <v>0</v>
      </c>
      <c r="V652" s="158">
        <v>0</v>
      </c>
      <c r="W652" s="158">
        <v>0</v>
      </c>
      <c r="X652" s="158">
        <v>0</v>
      </c>
      <c r="Y652" s="158">
        <v>0</v>
      </c>
      <c r="Z652" s="158">
        <v>0</v>
      </c>
      <c r="AA652" s="159">
        <v>0</v>
      </c>
      <c r="AB652" s="159">
        <v>0</v>
      </c>
      <c r="AC652" s="159">
        <v>0</v>
      </c>
      <c r="AD652" s="159">
        <v>0</v>
      </c>
      <c r="AE652" s="159">
        <v>0</v>
      </c>
      <c r="AF652" s="159">
        <v>0</v>
      </c>
      <c r="AG652" s="159">
        <v>0</v>
      </c>
      <c r="AH652" s="159">
        <v>0</v>
      </c>
      <c r="AI652" s="158">
        <v>424600</v>
      </c>
      <c r="AJ652" s="158">
        <v>0</v>
      </c>
      <c r="AK652" s="158">
        <v>424600</v>
      </c>
      <c r="AL652" s="158">
        <v>1044000</v>
      </c>
      <c r="AM652" s="158">
        <v>424600</v>
      </c>
      <c r="AN652" s="158">
        <v>424600</v>
      </c>
      <c r="AO652" s="158">
        <v>424000</v>
      </c>
      <c r="AP652" s="158">
        <v>424000</v>
      </c>
      <c r="AQ652" s="159">
        <v>0</v>
      </c>
      <c r="AR652" s="159">
        <v>0</v>
      </c>
      <c r="AS652" s="159">
        <v>0</v>
      </c>
      <c r="AT652" s="159">
        <v>0</v>
      </c>
      <c r="AU652" s="159">
        <v>0</v>
      </c>
      <c r="AV652" s="159">
        <v>0</v>
      </c>
      <c r="AW652" s="159">
        <v>0</v>
      </c>
      <c r="AX652" s="159">
        <v>0</v>
      </c>
      <c r="AY652" s="158">
        <v>279241</v>
      </c>
      <c r="AZ652" s="158">
        <v>0</v>
      </c>
      <c r="BA652" s="158">
        <v>279241</v>
      </c>
      <c r="BB652" s="158">
        <v>279241</v>
      </c>
      <c r="BC652" s="158">
        <v>279241</v>
      </c>
      <c r="BD652" s="158">
        <v>279241</v>
      </c>
      <c r="BE652" s="158">
        <v>279000</v>
      </c>
      <c r="BF652" s="158">
        <v>279000</v>
      </c>
      <c r="BG652" s="427">
        <v>2023</v>
      </c>
      <c r="BH652" s="424">
        <v>3</v>
      </c>
      <c r="BI652" s="424">
        <v>23</v>
      </c>
      <c r="BK652" s="147" t="str">
        <f>IF(R652=SUM(Z652,AH652,AP652,AX652,BF652),"○","×")</f>
        <v>○</v>
      </c>
    </row>
    <row r="653" spans="1:63" x14ac:dyDescent="0.2">
      <c r="A653" s="387">
        <v>1879</v>
      </c>
      <c r="K653" s="395"/>
      <c r="L653" s="188"/>
      <c r="M653" s="188" t="s">
        <v>526</v>
      </c>
      <c r="N653" s="188" t="s">
        <v>329</v>
      </c>
      <c r="O653" s="188" t="s">
        <v>506</v>
      </c>
      <c r="P653" s="188" t="s">
        <v>970</v>
      </c>
      <c r="R653" s="157">
        <v>586000</v>
      </c>
      <c r="S653" s="158">
        <v>0</v>
      </c>
      <c r="T653" s="158">
        <v>0</v>
      </c>
      <c r="U653" s="158">
        <v>0</v>
      </c>
      <c r="V653" s="158">
        <v>0</v>
      </c>
      <c r="W653" s="158">
        <v>0</v>
      </c>
      <c r="X653" s="158">
        <v>0</v>
      </c>
      <c r="Y653" s="158">
        <v>0</v>
      </c>
      <c r="Z653" s="158">
        <v>0</v>
      </c>
      <c r="AA653" s="159">
        <v>0</v>
      </c>
      <c r="AB653" s="159">
        <v>0</v>
      </c>
      <c r="AC653" s="159">
        <v>0</v>
      </c>
      <c r="AD653" s="159">
        <v>0</v>
      </c>
      <c r="AE653" s="159">
        <v>0</v>
      </c>
      <c r="AF653" s="159">
        <v>0</v>
      </c>
      <c r="AG653" s="159">
        <v>0</v>
      </c>
      <c r="AH653" s="159">
        <v>0</v>
      </c>
      <c r="AI653" s="158">
        <v>356566</v>
      </c>
      <c r="AJ653" s="158">
        <v>0</v>
      </c>
      <c r="AK653" s="158">
        <v>356566</v>
      </c>
      <c r="AL653" s="158">
        <v>2160000</v>
      </c>
      <c r="AM653" s="158">
        <v>356566</v>
      </c>
      <c r="AN653" s="158">
        <v>356566</v>
      </c>
      <c r="AO653" s="158">
        <v>356000</v>
      </c>
      <c r="AP653" s="158">
        <v>356000</v>
      </c>
      <c r="AQ653" s="159">
        <v>0</v>
      </c>
      <c r="AR653" s="159">
        <v>0</v>
      </c>
      <c r="AS653" s="159">
        <v>0</v>
      </c>
      <c r="AT653" s="159">
        <v>0</v>
      </c>
      <c r="AU653" s="159">
        <v>0</v>
      </c>
      <c r="AV653" s="159">
        <v>0</v>
      </c>
      <c r="AW653" s="159">
        <v>0</v>
      </c>
      <c r="AX653" s="159">
        <v>0</v>
      </c>
      <c r="AY653" s="158">
        <v>230230</v>
      </c>
      <c r="AZ653" s="158">
        <v>0</v>
      </c>
      <c r="BA653" s="158">
        <v>230230</v>
      </c>
      <c r="BB653" s="158">
        <v>230230</v>
      </c>
      <c r="BC653" s="158">
        <v>230230</v>
      </c>
      <c r="BD653" s="158">
        <v>230230</v>
      </c>
      <c r="BE653" s="158">
        <v>230000</v>
      </c>
      <c r="BF653" s="158">
        <v>230000</v>
      </c>
      <c r="BG653" s="427">
        <v>2023</v>
      </c>
      <c r="BH653" s="424">
        <v>3</v>
      </c>
      <c r="BI653" s="424">
        <v>23</v>
      </c>
      <c r="BK653" s="147" t="str">
        <f>IF(R653=SUM(Z653,AH653,AP653,AX653,BF653),"○","×")</f>
        <v>○</v>
      </c>
    </row>
    <row r="654" spans="1:63" x14ac:dyDescent="0.2">
      <c r="A654" s="387">
        <v>1880</v>
      </c>
      <c r="K654" s="395"/>
      <c r="L654" s="188"/>
      <c r="M654" s="188" t="s">
        <v>531</v>
      </c>
      <c r="N654" s="188" t="s">
        <v>323</v>
      </c>
      <c r="O654" s="188" t="s">
        <v>532</v>
      </c>
      <c r="P654" s="188" t="s">
        <v>970</v>
      </c>
      <c r="R654" s="157">
        <v>905000</v>
      </c>
      <c r="S654" s="158">
        <v>1328800</v>
      </c>
      <c r="T654" s="158">
        <v>0</v>
      </c>
      <c r="U654" s="158">
        <v>1328800</v>
      </c>
      <c r="V654" s="158">
        <v>1328800</v>
      </c>
      <c r="W654" s="158">
        <v>905000</v>
      </c>
      <c r="X654" s="158">
        <v>905000</v>
      </c>
      <c r="Y654" s="158">
        <v>905000</v>
      </c>
      <c r="Z654" s="158">
        <v>905000</v>
      </c>
      <c r="AA654" s="159">
        <v>0</v>
      </c>
      <c r="AB654" s="159">
        <v>0</v>
      </c>
      <c r="AC654" s="159">
        <v>0</v>
      </c>
      <c r="AD654" s="159">
        <v>0</v>
      </c>
      <c r="AE654" s="159">
        <v>0</v>
      </c>
      <c r="AF654" s="159">
        <v>0</v>
      </c>
      <c r="AG654" s="159">
        <v>0</v>
      </c>
      <c r="AH654" s="159">
        <v>0</v>
      </c>
      <c r="AI654" s="158">
        <v>0</v>
      </c>
      <c r="AJ654" s="158">
        <v>0</v>
      </c>
      <c r="AK654" s="158">
        <v>0</v>
      </c>
      <c r="AL654" s="158">
        <v>0</v>
      </c>
      <c r="AM654" s="158">
        <v>0</v>
      </c>
      <c r="AN654" s="158">
        <v>0</v>
      </c>
      <c r="AO654" s="158">
        <v>0</v>
      </c>
      <c r="AP654" s="158">
        <v>0</v>
      </c>
      <c r="AQ654" s="159">
        <v>0</v>
      </c>
      <c r="AR654" s="159">
        <v>0</v>
      </c>
      <c r="AS654" s="159">
        <v>0</v>
      </c>
      <c r="AT654" s="159">
        <v>0</v>
      </c>
      <c r="AU654" s="159">
        <v>0</v>
      </c>
      <c r="AV654" s="159">
        <v>0</v>
      </c>
      <c r="AW654" s="159">
        <v>0</v>
      </c>
      <c r="AX654" s="159">
        <v>0</v>
      </c>
      <c r="AY654" s="158">
        <v>0</v>
      </c>
      <c r="AZ654" s="158">
        <v>0</v>
      </c>
      <c r="BA654" s="158">
        <v>0</v>
      </c>
      <c r="BB654" s="158">
        <v>0</v>
      </c>
      <c r="BC654" s="158">
        <v>0</v>
      </c>
      <c r="BD654" s="158">
        <v>0</v>
      </c>
      <c r="BE654" s="158">
        <v>0</v>
      </c>
      <c r="BF654" s="158">
        <v>0</v>
      </c>
      <c r="BG654" s="427">
        <v>2023</v>
      </c>
      <c r="BH654" s="424">
        <v>3</v>
      </c>
      <c r="BI654" s="424">
        <v>23</v>
      </c>
      <c r="BK654" s="147" t="str">
        <f>IF(R654=SUM(Z654,AH654,AP654,AX654,BF654),"○","×")</f>
        <v>○</v>
      </c>
    </row>
    <row r="655" spans="1:63" x14ac:dyDescent="0.2">
      <c r="A655" s="387">
        <v>1881</v>
      </c>
      <c r="K655" s="395"/>
      <c r="L655" s="188"/>
      <c r="M655" s="188" t="s">
        <v>465</v>
      </c>
      <c r="N655" s="188" t="s">
        <v>343</v>
      </c>
      <c r="O655" s="188" t="s">
        <v>466</v>
      </c>
      <c r="P655" s="188" t="s">
        <v>970</v>
      </c>
      <c r="R655" s="157">
        <v>2629000</v>
      </c>
      <c r="S655" s="158">
        <v>0</v>
      </c>
      <c r="T655" s="158">
        <v>0</v>
      </c>
      <c r="U655" s="158">
        <v>0</v>
      </c>
      <c r="V655" s="158">
        <v>0</v>
      </c>
      <c r="W655" s="158">
        <v>0</v>
      </c>
      <c r="X655" s="158">
        <v>0</v>
      </c>
      <c r="Y655" s="158">
        <v>0</v>
      </c>
      <c r="Z655" s="158">
        <v>0</v>
      </c>
      <c r="AA655" s="159">
        <v>694320</v>
      </c>
      <c r="AB655" s="159">
        <v>0</v>
      </c>
      <c r="AC655" s="159">
        <v>694320</v>
      </c>
      <c r="AD655" s="159">
        <v>820000</v>
      </c>
      <c r="AE655" s="159">
        <v>694320</v>
      </c>
      <c r="AF655" s="159">
        <v>694320</v>
      </c>
      <c r="AG655" s="159">
        <v>694000</v>
      </c>
      <c r="AH655" s="159">
        <v>694000</v>
      </c>
      <c r="AI655" s="158">
        <v>1935318</v>
      </c>
      <c r="AJ655" s="158">
        <v>0</v>
      </c>
      <c r="AK655" s="158">
        <v>1935318</v>
      </c>
      <c r="AL655" s="158">
        <v>5400000</v>
      </c>
      <c r="AM655" s="158">
        <v>1935318</v>
      </c>
      <c r="AN655" s="158">
        <v>1935318</v>
      </c>
      <c r="AO655" s="158">
        <v>1935000</v>
      </c>
      <c r="AP655" s="158">
        <v>1935000</v>
      </c>
      <c r="AQ655" s="159">
        <v>0</v>
      </c>
      <c r="AR655" s="159">
        <v>0</v>
      </c>
      <c r="AS655" s="159">
        <v>0</v>
      </c>
      <c r="AT655" s="159">
        <v>0</v>
      </c>
      <c r="AU655" s="159">
        <v>0</v>
      </c>
      <c r="AV655" s="159">
        <v>0</v>
      </c>
      <c r="AW655" s="159">
        <v>0</v>
      </c>
      <c r="AX655" s="159">
        <v>0</v>
      </c>
      <c r="AY655" s="158">
        <v>0</v>
      </c>
      <c r="AZ655" s="158">
        <v>0</v>
      </c>
      <c r="BA655" s="158">
        <v>0</v>
      </c>
      <c r="BB655" s="158">
        <v>0</v>
      </c>
      <c r="BC655" s="158">
        <v>0</v>
      </c>
      <c r="BD655" s="158">
        <v>0</v>
      </c>
      <c r="BE655" s="158">
        <v>0</v>
      </c>
      <c r="BF655" s="158">
        <v>0</v>
      </c>
      <c r="BG655" s="427">
        <v>2023</v>
      </c>
      <c r="BH655" s="424">
        <v>3</v>
      </c>
      <c r="BI655" s="424">
        <v>23</v>
      </c>
      <c r="BK655" s="147" t="str">
        <f>IF(R655=SUM(Z655,AH655,AP655,AX655,BF655),"○","×")</f>
        <v>○</v>
      </c>
    </row>
    <row r="656" spans="1:63" s="152" customFormat="1" x14ac:dyDescent="0.2">
      <c r="A656" s="387">
        <v>1882</v>
      </c>
      <c r="B656" s="395"/>
      <c r="C656" s="396"/>
      <c r="D656" s="395"/>
      <c r="E656" s="396"/>
      <c r="F656" s="395"/>
      <c r="G656" s="395"/>
      <c r="H656" s="396"/>
      <c r="I656" s="395"/>
      <c r="J656" s="395"/>
      <c r="K656" s="395"/>
      <c r="L656" s="188"/>
      <c r="M656" s="188" t="s">
        <v>527</v>
      </c>
      <c r="N656" s="188" t="s">
        <v>974</v>
      </c>
      <c r="O656" s="188" t="s">
        <v>528</v>
      </c>
      <c r="P656" s="188" t="s">
        <v>970</v>
      </c>
      <c r="Q656" s="383"/>
      <c r="R656" s="157">
        <v>1651000</v>
      </c>
      <c r="S656" s="158">
        <v>1002200</v>
      </c>
      <c r="T656" s="158">
        <v>0</v>
      </c>
      <c r="U656" s="158">
        <v>1002200</v>
      </c>
      <c r="V656" s="158">
        <v>1002200</v>
      </c>
      <c r="W656" s="158">
        <v>905000</v>
      </c>
      <c r="X656" s="158">
        <v>905000</v>
      </c>
      <c r="Y656" s="158">
        <v>905000</v>
      </c>
      <c r="Z656" s="158">
        <v>905000</v>
      </c>
      <c r="AA656" s="159">
        <v>0</v>
      </c>
      <c r="AB656" s="159">
        <v>0</v>
      </c>
      <c r="AC656" s="159">
        <v>0</v>
      </c>
      <c r="AD656" s="159">
        <v>0</v>
      </c>
      <c r="AE656" s="159">
        <v>0</v>
      </c>
      <c r="AF656" s="159">
        <v>0</v>
      </c>
      <c r="AG656" s="159">
        <v>0</v>
      </c>
      <c r="AH656" s="159">
        <v>0</v>
      </c>
      <c r="AI656" s="158">
        <v>647574</v>
      </c>
      <c r="AJ656" s="158">
        <v>0</v>
      </c>
      <c r="AK656" s="158">
        <v>647574</v>
      </c>
      <c r="AL656" s="158">
        <v>3088800</v>
      </c>
      <c r="AM656" s="158">
        <v>647574</v>
      </c>
      <c r="AN656" s="158">
        <v>647574</v>
      </c>
      <c r="AO656" s="158">
        <v>647000</v>
      </c>
      <c r="AP656" s="158">
        <v>647000</v>
      </c>
      <c r="AQ656" s="159">
        <v>0</v>
      </c>
      <c r="AR656" s="159">
        <v>0</v>
      </c>
      <c r="AS656" s="159">
        <v>0</v>
      </c>
      <c r="AT656" s="159">
        <v>0</v>
      </c>
      <c r="AU656" s="159">
        <v>0</v>
      </c>
      <c r="AV656" s="159">
        <v>0</v>
      </c>
      <c r="AW656" s="159">
        <v>0</v>
      </c>
      <c r="AX656" s="159">
        <v>0</v>
      </c>
      <c r="AY656" s="158">
        <v>99000</v>
      </c>
      <c r="AZ656" s="158">
        <v>0</v>
      </c>
      <c r="BA656" s="158">
        <v>99000</v>
      </c>
      <c r="BB656" s="158">
        <v>99000</v>
      </c>
      <c r="BC656" s="158">
        <v>99000</v>
      </c>
      <c r="BD656" s="158">
        <v>99000</v>
      </c>
      <c r="BE656" s="158">
        <v>99000</v>
      </c>
      <c r="BF656" s="158">
        <v>99000</v>
      </c>
      <c r="BG656" s="427">
        <v>2023</v>
      </c>
      <c r="BH656" s="424">
        <v>3</v>
      </c>
      <c r="BI656" s="424">
        <v>23</v>
      </c>
      <c r="BJ656" s="148"/>
      <c r="BK656" s="147" t="str">
        <f>IF(R656=SUM(Z656,AH656,AP656,AX656,BF656),"○","×")</f>
        <v>○</v>
      </c>
    </row>
    <row r="657" spans="1:63" x14ac:dyDescent="0.2">
      <c r="A657" s="387">
        <v>1883</v>
      </c>
      <c r="K657" s="395"/>
      <c r="L657" s="188"/>
      <c r="M657" s="188" t="s">
        <v>496</v>
      </c>
      <c r="N657" s="188" t="s">
        <v>974</v>
      </c>
      <c r="O657" s="188" t="s">
        <v>391</v>
      </c>
      <c r="P657" s="188" t="s">
        <v>970</v>
      </c>
      <c r="R657" s="157">
        <v>1526000</v>
      </c>
      <c r="S657" s="158">
        <v>0</v>
      </c>
      <c r="T657" s="158">
        <v>0</v>
      </c>
      <c r="U657" s="158">
        <v>0</v>
      </c>
      <c r="V657" s="158">
        <v>0</v>
      </c>
      <c r="W657" s="158">
        <v>0</v>
      </c>
      <c r="X657" s="158">
        <v>0</v>
      </c>
      <c r="Y657" s="158">
        <v>0</v>
      </c>
      <c r="Z657" s="158">
        <v>0</v>
      </c>
      <c r="AA657" s="159">
        <v>225500</v>
      </c>
      <c r="AB657" s="159">
        <v>0</v>
      </c>
      <c r="AC657" s="159">
        <v>225500</v>
      </c>
      <c r="AD657" s="159">
        <v>205000</v>
      </c>
      <c r="AE657" s="159">
        <v>205000</v>
      </c>
      <c r="AF657" s="159">
        <v>205000</v>
      </c>
      <c r="AG657" s="159">
        <v>205000</v>
      </c>
      <c r="AH657" s="159">
        <v>205000</v>
      </c>
      <c r="AI657" s="158">
        <v>0</v>
      </c>
      <c r="AJ657" s="158">
        <v>0</v>
      </c>
      <c r="AK657" s="158">
        <v>0</v>
      </c>
      <c r="AL657" s="158">
        <v>0</v>
      </c>
      <c r="AM657" s="158">
        <v>0</v>
      </c>
      <c r="AN657" s="158">
        <v>0</v>
      </c>
      <c r="AO657" s="158">
        <v>0</v>
      </c>
      <c r="AP657" s="158">
        <v>0</v>
      </c>
      <c r="AQ657" s="159">
        <v>56540</v>
      </c>
      <c r="AR657" s="159">
        <v>0</v>
      </c>
      <c r="AS657" s="159">
        <v>56540</v>
      </c>
      <c r="AT657" s="159">
        <v>51400</v>
      </c>
      <c r="AU657" s="159">
        <v>51400</v>
      </c>
      <c r="AV657" s="159">
        <v>51400</v>
      </c>
      <c r="AW657" s="159">
        <v>51000</v>
      </c>
      <c r="AX657" s="159">
        <v>51000</v>
      </c>
      <c r="AY657" s="158">
        <v>1270500</v>
      </c>
      <c r="AZ657" s="158">
        <v>0</v>
      </c>
      <c r="BA657" s="158">
        <v>1270500</v>
      </c>
      <c r="BB657" s="158">
        <v>1270500</v>
      </c>
      <c r="BC657" s="158">
        <v>1270500</v>
      </c>
      <c r="BD657" s="158">
        <v>1270500</v>
      </c>
      <c r="BE657" s="158">
        <v>1270000</v>
      </c>
      <c r="BF657" s="158">
        <v>1270000</v>
      </c>
      <c r="BG657" s="427">
        <v>2023</v>
      </c>
      <c r="BH657" s="424">
        <v>3</v>
      </c>
      <c r="BI657" s="424">
        <v>23</v>
      </c>
      <c r="BK657" s="147" t="str">
        <f>IF(R657=SUM(Z657,AH657,AP657,AX657,BF657),"○","×")</f>
        <v>○</v>
      </c>
    </row>
    <row r="658" spans="1:63" s="152" customFormat="1" x14ac:dyDescent="0.2">
      <c r="A658" s="387"/>
      <c r="B658" s="395"/>
      <c r="C658" s="396"/>
      <c r="D658" s="395"/>
      <c r="E658" s="396"/>
      <c r="F658" s="395"/>
      <c r="G658" s="395"/>
      <c r="H658" s="396"/>
      <c r="I658" s="395"/>
      <c r="J658" s="395"/>
      <c r="K658" s="395"/>
      <c r="L658" s="188"/>
      <c r="M658" s="188"/>
      <c r="N658" s="188"/>
      <c r="O658" s="188"/>
      <c r="P658" s="188"/>
      <c r="Q658" s="146"/>
      <c r="R658" s="157"/>
      <c r="S658" s="158"/>
      <c r="T658" s="158"/>
      <c r="U658" s="158"/>
      <c r="V658" s="158"/>
      <c r="W658" s="158"/>
      <c r="X658" s="158"/>
      <c r="Y658" s="158"/>
      <c r="Z658" s="158"/>
      <c r="AA658" s="159"/>
      <c r="AB658" s="159"/>
      <c r="AC658" s="159"/>
      <c r="AD658" s="159"/>
      <c r="AE658" s="159"/>
      <c r="AF658" s="159"/>
      <c r="AG658" s="159"/>
      <c r="AH658" s="159"/>
      <c r="AI658" s="158"/>
      <c r="AJ658" s="158"/>
      <c r="AK658" s="158"/>
      <c r="AL658" s="158"/>
      <c r="AM658" s="158"/>
      <c r="AN658" s="158"/>
      <c r="AO658" s="158"/>
      <c r="AP658" s="158"/>
      <c r="AQ658" s="159"/>
      <c r="AR658" s="159"/>
      <c r="AS658" s="159"/>
      <c r="AT658" s="159"/>
      <c r="AU658" s="159"/>
      <c r="AV658" s="159"/>
      <c r="AW658" s="159"/>
      <c r="AX658" s="159"/>
      <c r="AY658" s="158"/>
      <c r="AZ658" s="158"/>
      <c r="BA658" s="158"/>
      <c r="BB658" s="158"/>
      <c r="BC658" s="158"/>
      <c r="BD658" s="158"/>
      <c r="BE658" s="158"/>
      <c r="BF658" s="158"/>
      <c r="BG658" s="427"/>
      <c r="BH658" s="424"/>
      <c r="BI658" s="424"/>
    </row>
    <row r="659" spans="1:63" s="152" customFormat="1" x14ac:dyDescent="0.2">
      <c r="A659" s="387"/>
      <c r="B659" s="395"/>
      <c r="C659" s="396"/>
      <c r="D659" s="395"/>
      <c r="E659" s="396"/>
      <c r="F659" s="395"/>
      <c r="G659" s="395"/>
      <c r="H659" s="396"/>
      <c r="I659" s="395"/>
      <c r="J659" s="395"/>
      <c r="K659" s="395"/>
      <c r="L659" s="188"/>
      <c r="M659" s="188"/>
      <c r="N659" s="188"/>
      <c r="O659" s="188"/>
      <c r="P659" s="188"/>
      <c r="Q659" s="146"/>
      <c r="R659" s="157"/>
      <c r="S659" s="158"/>
      <c r="T659" s="158"/>
      <c r="U659" s="158"/>
      <c r="V659" s="158"/>
      <c r="W659" s="158"/>
      <c r="X659" s="158"/>
      <c r="Y659" s="158"/>
      <c r="Z659" s="158"/>
      <c r="AA659" s="159"/>
      <c r="AB659" s="159"/>
      <c r="AC659" s="159"/>
      <c r="AD659" s="159"/>
      <c r="AE659" s="159"/>
      <c r="AF659" s="159"/>
      <c r="AG659" s="159"/>
      <c r="AH659" s="159"/>
      <c r="AI659" s="158"/>
      <c r="AJ659" s="158"/>
      <c r="AK659" s="158"/>
      <c r="AL659" s="158"/>
      <c r="AM659" s="158"/>
      <c r="AN659" s="158"/>
      <c r="AO659" s="158"/>
      <c r="AP659" s="158"/>
      <c r="AQ659" s="159"/>
      <c r="AR659" s="159"/>
      <c r="AS659" s="159"/>
      <c r="AT659" s="159"/>
      <c r="AU659" s="159"/>
      <c r="AV659" s="159"/>
      <c r="AW659" s="159"/>
      <c r="AX659" s="159"/>
      <c r="AY659" s="158"/>
      <c r="AZ659" s="158"/>
      <c r="BA659" s="158"/>
      <c r="BB659" s="158"/>
      <c r="BC659" s="158"/>
      <c r="BD659" s="158"/>
      <c r="BE659" s="158"/>
      <c r="BF659" s="158"/>
      <c r="BG659" s="427"/>
      <c r="BH659" s="424"/>
      <c r="BI659" s="424"/>
    </row>
    <row r="660" spans="1:63" s="152" customFormat="1" x14ac:dyDescent="0.2">
      <c r="A660" s="387"/>
      <c r="B660" s="395"/>
      <c r="C660" s="396"/>
      <c r="D660" s="395"/>
      <c r="E660" s="396"/>
      <c r="F660" s="395"/>
      <c r="G660" s="395"/>
      <c r="H660" s="396"/>
      <c r="I660" s="395"/>
      <c r="J660" s="395"/>
      <c r="K660" s="395"/>
      <c r="L660" s="188"/>
      <c r="M660" s="188"/>
      <c r="N660" s="188"/>
      <c r="O660" s="188"/>
      <c r="P660" s="188"/>
      <c r="Q660" s="146"/>
      <c r="R660" s="157"/>
      <c r="S660" s="158"/>
      <c r="T660" s="158"/>
      <c r="U660" s="158"/>
      <c r="V660" s="158"/>
      <c r="W660" s="158"/>
      <c r="X660" s="158"/>
      <c r="Y660" s="158"/>
      <c r="Z660" s="158"/>
      <c r="AA660" s="159"/>
      <c r="AB660" s="159"/>
      <c r="AC660" s="159"/>
      <c r="AD660" s="159"/>
      <c r="AE660" s="159"/>
      <c r="AF660" s="159"/>
      <c r="AG660" s="159"/>
      <c r="AH660" s="159"/>
      <c r="AI660" s="158"/>
      <c r="AJ660" s="158"/>
      <c r="AK660" s="158"/>
      <c r="AL660" s="158"/>
      <c r="AM660" s="158"/>
      <c r="AN660" s="158"/>
      <c r="AO660" s="158"/>
      <c r="AP660" s="158"/>
      <c r="AQ660" s="159"/>
      <c r="AR660" s="159"/>
      <c r="AS660" s="159"/>
      <c r="AT660" s="159"/>
      <c r="AU660" s="159"/>
      <c r="AV660" s="159"/>
      <c r="AW660" s="159"/>
      <c r="AX660" s="159"/>
      <c r="AY660" s="158"/>
      <c r="AZ660" s="158"/>
      <c r="BA660" s="158"/>
      <c r="BB660" s="158"/>
      <c r="BC660" s="158"/>
      <c r="BD660" s="158"/>
      <c r="BE660" s="158"/>
      <c r="BF660" s="158"/>
      <c r="BG660" s="427"/>
      <c r="BH660" s="424"/>
      <c r="BI660" s="424"/>
    </row>
    <row r="661" spans="1:63" s="152" customFormat="1" x14ac:dyDescent="0.2">
      <c r="A661" s="387"/>
      <c r="B661" s="395"/>
      <c r="C661" s="396"/>
      <c r="D661" s="395"/>
      <c r="E661" s="396"/>
      <c r="F661" s="395"/>
      <c r="G661" s="395"/>
      <c r="H661" s="396"/>
      <c r="I661" s="395"/>
      <c r="J661" s="395"/>
      <c r="K661" s="395"/>
      <c r="L661" s="188"/>
      <c r="M661" s="188"/>
      <c r="N661" s="188"/>
      <c r="O661" s="188"/>
      <c r="P661" s="188"/>
      <c r="Q661" s="146"/>
      <c r="R661" s="157"/>
      <c r="S661" s="158"/>
      <c r="T661" s="158"/>
      <c r="U661" s="158"/>
      <c r="V661" s="158"/>
      <c r="W661" s="158"/>
      <c r="X661" s="158"/>
      <c r="Y661" s="158"/>
      <c r="Z661" s="158"/>
      <c r="AA661" s="159"/>
      <c r="AB661" s="159"/>
      <c r="AC661" s="159"/>
      <c r="AD661" s="159"/>
      <c r="AE661" s="159"/>
      <c r="AF661" s="159"/>
      <c r="AG661" s="159"/>
      <c r="AH661" s="159"/>
      <c r="AI661" s="158"/>
      <c r="AJ661" s="158"/>
      <c r="AK661" s="158"/>
      <c r="AL661" s="158"/>
      <c r="AM661" s="158"/>
      <c r="AN661" s="158"/>
      <c r="AO661" s="158"/>
      <c r="AP661" s="158"/>
      <c r="AQ661" s="159"/>
      <c r="AR661" s="159"/>
      <c r="AS661" s="159"/>
      <c r="AT661" s="159"/>
      <c r="AU661" s="159"/>
      <c r="AV661" s="159"/>
      <c r="AW661" s="159"/>
      <c r="AX661" s="159"/>
      <c r="AY661" s="158"/>
      <c r="AZ661" s="158"/>
      <c r="BA661" s="158"/>
      <c r="BB661" s="158"/>
      <c r="BC661" s="158"/>
      <c r="BD661" s="158"/>
      <c r="BE661" s="158"/>
      <c r="BF661" s="158"/>
      <c r="BG661" s="427"/>
      <c r="BH661" s="424"/>
      <c r="BI661" s="424"/>
    </row>
    <row r="662" spans="1:63" x14ac:dyDescent="0.2">
      <c r="K662" s="395"/>
      <c r="L662" s="188"/>
      <c r="R662" s="157"/>
      <c r="S662" s="158"/>
      <c r="T662" s="158"/>
      <c r="U662" s="158"/>
      <c r="V662" s="158"/>
      <c r="W662" s="158"/>
      <c r="X662" s="158"/>
      <c r="Y662" s="158"/>
      <c r="Z662" s="158"/>
      <c r="AA662" s="159"/>
      <c r="AB662" s="159"/>
      <c r="AC662" s="159"/>
      <c r="AD662" s="159"/>
      <c r="AE662" s="159"/>
      <c r="AF662" s="159"/>
      <c r="AG662" s="159"/>
      <c r="AH662" s="159"/>
      <c r="AI662" s="158"/>
      <c r="AJ662" s="158"/>
      <c r="AK662" s="158"/>
      <c r="AL662" s="158"/>
      <c r="AM662" s="158"/>
      <c r="AN662" s="158"/>
      <c r="AO662" s="158"/>
      <c r="AP662" s="158"/>
      <c r="AQ662" s="159"/>
      <c r="AR662" s="159"/>
      <c r="AS662" s="159"/>
      <c r="AT662" s="159"/>
      <c r="AU662" s="159"/>
      <c r="AV662" s="159"/>
      <c r="AW662" s="159"/>
      <c r="AX662" s="159"/>
      <c r="AY662" s="158"/>
      <c r="AZ662" s="158"/>
      <c r="BA662" s="158"/>
      <c r="BB662" s="158"/>
      <c r="BC662" s="158"/>
      <c r="BD662" s="158"/>
      <c r="BE662" s="158"/>
      <c r="BF662" s="158"/>
      <c r="BG662" s="427"/>
      <c r="BH662" s="424"/>
      <c r="BI662" s="424"/>
    </row>
    <row r="663" spans="1:63" x14ac:dyDescent="0.2">
      <c r="K663" s="395"/>
      <c r="L663" s="188"/>
      <c r="R663" s="157"/>
      <c r="S663" s="158"/>
      <c r="T663" s="158"/>
      <c r="U663" s="158"/>
      <c r="V663" s="158"/>
      <c r="W663" s="158"/>
      <c r="X663" s="158"/>
      <c r="Y663" s="158"/>
      <c r="Z663" s="158"/>
      <c r="AA663" s="159"/>
      <c r="AB663" s="159"/>
      <c r="AC663" s="159"/>
      <c r="AD663" s="159"/>
      <c r="AE663" s="159"/>
      <c r="AF663" s="159"/>
      <c r="AG663" s="159"/>
      <c r="AH663" s="159"/>
      <c r="AI663" s="158"/>
      <c r="AJ663" s="158"/>
      <c r="AK663" s="158"/>
      <c r="AL663" s="158"/>
      <c r="AM663" s="158"/>
      <c r="AN663" s="158"/>
      <c r="AO663" s="158"/>
      <c r="AP663" s="158"/>
      <c r="AQ663" s="159"/>
      <c r="AR663" s="159"/>
      <c r="AS663" s="159"/>
      <c r="AT663" s="159"/>
      <c r="AU663" s="159"/>
      <c r="AV663" s="159"/>
      <c r="AW663" s="159"/>
      <c r="AX663" s="159"/>
      <c r="AY663" s="158"/>
      <c r="AZ663" s="158"/>
      <c r="BA663" s="158"/>
      <c r="BB663" s="158"/>
      <c r="BC663" s="158"/>
      <c r="BD663" s="158"/>
      <c r="BE663" s="158"/>
      <c r="BF663" s="158"/>
      <c r="BG663" s="427"/>
      <c r="BH663" s="424"/>
      <c r="BI663" s="424"/>
    </row>
    <row r="664" spans="1:63" x14ac:dyDescent="0.2">
      <c r="K664" s="395"/>
      <c r="L664" s="188"/>
      <c r="R664" s="157"/>
      <c r="S664" s="158"/>
      <c r="T664" s="158"/>
      <c r="U664" s="158"/>
      <c r="V664" s="158"/>
      <c r="W664" s="158"/>
      <c r="X664" s="158"/>
      <c r="Y664" s="158"/>
      <c r="Z664" s="158"/>
      <c r="AA664" s="159"/>
      <c r="AB664" s="159"/>
      <c r="AC664" s="159"/>
      <c r="AD664" s="159"/>
      <c r="AE664" s="159"/>
      <c r="AF664" s="159"/>
      <c r="AG664" s="159"/>
      <c r="AH664" s="159"/>
      <c r="AI664" s="158"/>
      <c r="AJ664" s="158"/>
      <c r="AK664" s="158"/>
      <c r="AL664" s="158"/>
      <c r="AM664" s="158"/>
      <c r="AN664" s="158"/>
      <c r="AO664" s="158"/>
      <c r="AP664" s="158"/>
      <c r="AQ664" s="159"/>
      <c r="AR664" s="159"/>
      <c r="AS664" s="159"/>
      <c r="AT664" s="159"/>
      <c r="AU664" s="159"/>
      <c r="AV664" s="159"/>
      <c r="AW664" s="159"/>
      <c r="AX664" s="159"/>
      <c r="AY664" s="158"/>
      <c r="AZ664" s="158"/>
      <c r="BA664" s="158"/>
      <c r="BB664" s="158"/>
      <c r="BC664" s="158"/>
      <c r="BD664" s="158"/>
      <c r="BE664" s="158"/>
      <c r="BF664" s="158"/>
      <c r="BG664" s="427"/>
      <c r="BH664" s="424"/>
      <c r="BI664" s="424"/>
    </row>
    <row r="665" spans="1:63" x14ac:dyDescent="0.2">
      <c r="K665" s="395"/>
      <c r="L665" s="188"/>
      <c r="R665" s="157"/>
      <c r="S665" s="158"/>
      <c r="T665" s="158"/>
      <c r="U665" s="158"/>
      <c r="V665" s="158"/>
      <c r="W665" s="158"/>
      <c r="X665" s="158"/>
      <c r="Y665" s="158"/>
      <c r="Z665" s="158"/>
      <c r="AA665" s="159"/>
      <c r="AB665" s="159"/>
      <c r="AC665" s="159"/>
      <c r="AD665" s="159"/>
      <c r="AE665" s="159"/>
      <c r="AF665" s="159"/>
      <c r="AG665" s="159"/>
      <c r="AH665" s="159"/>
      <c r="AI665" s="158"/>
      <c r="AJ665" s="158"/>
      <c r="AK665" s="158"/>
      <c r="AL665" s="158"/>
      <c r="AM665" s="158"/>
      <c r="AN665" s="158"/>
      <c r="AO665" s="158"/>
      <c r="AP665" s="158"/>
      <c r="AQ665" s="159"/>
      <c r="AR665" s="159"/>
      <c r="AS665" s="159"/>
      <c r="AT665" s="159"/>
      <c r="AU665" s="159"/>
      <c r="AV665" s="159"/>
      <c r="AW665" s="159"/>
      <c r="AX665" s="159"/>
      <c r="AY665" s="158"/>
      <c r="AZ665" s="158"/>
      <c r="BA665" s="158"/>
      <c r="BB665" s="158"/>
      <c r="BC665" s="158"/>
      <c r="BD665" s="158"/>
      <c r="BE665" s="158"/>
      <c r="BF665" s="158"/>
      <c r="BG665" s="427"/>
      <c r="BH665" s="424"/>
      <c r="BI665" s="424"/>
    </row>
    <row r="666" spans="1:63" x14ac:dyDescent="0.2">
      <c r="K666" s="395"/>
      <c r="L666" s="188"/>
      <c r="R666" s="157"/>
      <c r="S666" s="158"/>
      <c r="T666" s="158"/>
      <c r="U666" s="158"/>
      <c r="V666" s="158"/>
      <c r="W666" s="158"/>
      <c r="X666" s="158"/>
      <c r="Y666" s="158"/>
      <c r="Z666" s="158"/>
      <c r="AA666" s="159"/>
      <c r="AB666" s="159"/>
      <c r="AC666" s="159"/>
      <c r="AD666" s="159"/>
      <c r="AE666" s="159"/>
      <c r="AF666" s="159"/>
      <c r="AG666" s="159"/>
      <c r="AH666" s="159"/>
      <c r="AI666" s="158"/>
      <c r="AJ666" s="158"/>
      <c r="AK666" s="158"/>
      <c r="AL666" s="158"/>
      <c r="AM666" s="158"/>
      <c r="AN666" s="158"/>
      <c r="AO666" s="158"/>
      <c r="AP666" s="158"/>
      <c r="AQ666" s="159"/>
      <c r="AR666" s="159"/>
      <c r="AS666" s="159"/>
      <c r="AT666" s="159"/>
      <c r="AU666" s="159"/>
      <c r="AV666" s="159"/>
      <c r="AW666" s="159"/>
      <c r="AX666" s="159"/>
      <c r="AY666" s="158"/>
      <c r="AZ666" s="158"/>
      <c r="BA666" s="158"/>
      <c r="BB666" s="158"/>
      <c r="BC666" s="158"/>
      <c r="BD666" s="158"/>
      <c r="BE666" s="158"/>
      <c r="BF666" s="158"/>
      <c r="BG666" s="427"/>
      <c r="BH666" s="424"/>
      <c r="BI666" s="424"/>
    </row>
    <row r="667" spans="1:63" x14ac:dyDescent="0.2">
      <c r="K667" s="395"/>
      <c r="L667" s="188"/>
      <c r="R667" s="157"/>
      <c r="S667" s="158"/>
      <c r="T667" s="158"/>
      <c r="U667" s="158"/>
      <c r="V667" s="158"/>
      <c r="W667" s="158"/>
      <c r="X667" s="158"/>
      <c r="Y667" s="158"/>
      <c r="Z667" s="158"/>
      <c r="AA667" s="159"/>
      <c r="AB667" s="159"/>
      <c r="AC667" s="159"/>
      <c r="AD667" s="159"/>
      <c r="AE667" s="159"/>
      <c r="AF667" s="159"/>
      <c r="AG667" s="159"/>
      <c r="AH667" s="159"/>
      <c r="AI667" s="158"/>
      <c r="AJ667" s="158"/>
      <c r="AK667" s="158"/>
      <c r="AL667" s="158"/>
      <c r="AM667" s="158"/>
      <c r="AN667" s="158"/>
      <c r="AO667" s="158"/>
      <c r="AP667" s="158"/>
      <c r="AQ667" s="159"/>
      <c r="AR667" s="159"/>
      <c r="AS667" s="159"/>
      <c r="AT667" s="159"/>
      <c r="AU667" s="159"/>
      <c r="AV667" s="159"/>
      <c r="AW667" s="159"/>
      <c r="AX667" s="159"/>
      <c r="AY667" s="158"/>
      <c r="AZ667" s="158"/>
      <c r="BA667" s="158"/>
      <c r="BB667" s="158"/>
      <c r="BC667" s="158"/>
      <c r="BD667" s="158"/>
      <c r="BE667" s="158"/>
      <c r="BF667" s="158"/>
      <c r="BG667" s="427"/>
      <c r="BH667" s="424"/>
      <c r="BI667" s="424"/>
    </row>
    <row r="668" spans="1:63" x14ac:dyDescent="0.2">
      <c r="K668" s="395"/>
      <c r="L668" s="188"/>
      <c r="R668" s="157"/>
      <c r="S668" s="158"/>
      <c r="T668" s="158"/>
      <c r="U668" s="158"/>
      <c r="V668" s="158"/>
      <c r="W668" s="158"/>
      <c r="X668" s="158"/>
      <c r="Y668" s="158"/>
      <c r="Z668" s="158"/>
      <c r="AA668" s="159"/>
      <c r="AB668" s="159"/>
      <c r="AC668" s="159"/>
      <c r="AD668" s="159"/>
      <c r="AE668" s="159"/>
      <c r="AF668" s="159"/>
      <c r="AG668" s="159"/>
      <c r="AH668" s="159"/>
      <c r="AI668" s="158"/>
      <c r="AJ668" s="158"/>
      <c r="AK668" s="158"/>
      <c r="AL668" s="158"/>
      <c r="AM668" s="158"/>
      <c r="AN668" s="158"/>
      <c r="AO668" s="158"/>
      <c r="AP668" s="158"/>
      <c r="AQ668" s="159"/>
      <c r="AR668" s="159"/>
      <c r="AS668" s="159"/>
      <c r="AT668" s="159"/>
      <c r="AU668" s="159"/>
      <c r="AV668" s="159"/>
      <c r="AW668" s="159"/>
      <c r="AX668" s="159"/>
      <c r="AY668" s="158"/>
      <c r="AZ668" s="158"/>
      <c r="BA668" s="158"/>
      <c r="BB668" s="158"/>
      <c r="BC668" s="158"/>
      <c r="BD668" s="158"/>
      <c r="BE668" s="158"/>
      <c r="BF668" s="158"/>
      <c r="BG668" s="427"/>
      <c r="BH668" s="424"/>
      <c r="BI668" s="424"/>
    </row>
    <row r="669" spans="1:63" x14ac:dyDescent="0.2">
      <c r="K669" s="395"/>
      <c r="L669" s="188"/>
      <c r="R669" s="157"/>
      <c r="S669" s="158"/>
      <c r="T669" s="158"/>
      <c r="U669" s="158"/>
      <c r="V669" s="158"/>
      <c r="W669" s="158"/>
      <c r="X669" s="158"/>
      <c r="Y669" s="158"/>
      <c r="Z669" s="158"/>
      <c r="AA669" s="159"/>
      <c r="AB669" s="159"/>
      <c r="AC669" s="159"/>
      <c r="AD669" s="159"/>
      <c r="AE669" s="159"/>
      <c r="AF669" s="159"/>
      <c r="AG669" s="159"/>
      <c r="AH669" s="159"/>
      <c r="AI669" s="158"/>
      <c r="AJ669" s="158"/>
      <c r="AK669" s="158"/>
      <c r="AL669" s="158"/>
      <c r="AM669" s="158"/>
      <c r="AN669" s="158"/>
      <c r="AO669" s="158"/>
      <c r="AP669" s="158"/>
      <c r="AQ669" s="159"/>
      <c r="AR669" s="159"/>
      <c r="AS669" s="159"/>
      <c r="AT669" s="159"/>
      <c r="AU669" s="159"/>
      <c r="AV669" s="159"/>
      <c r="AW669" s="159"/>
      <c r="AX669" s="159"/>
      <c r="AY669" s="158"/>
      <c r="AZ669" s="158"/>
      <c r="BA669" s="158"/>
      <c r="BB669" s="158"/>
      <c r="BC669" s="158"/>
      <c r="BD669" s="158"/>
      <c r="BE669" s="158"/>
      <c r="BF669" s="158"/>
      <c r="BG669" s="427"/>
      <c r="BH669" s="424"/>
      <c r="BI669" s="424"/>
    </row>
    <row r="670" spans="1:63" s="152" customFormat="1" x14ac:dyDescent="0.2">
      <c r="A670" s="387"/>
      <c r="B670" s="395"/>
      <c r="C670" s="396"/>
      <c r="D670" s="395"/>
      <c r="E670" s="396"/>
      <c r="F670" s="395"/>
      <c r="G670" s="395"/>
      <c r="H670" s="396"/>
      <c r="I670" s="395"/>
      <c r="J670" s="395"/>
      <c r="K670" s="395"/>
      <c r="L670" s="188"/>
      <c r="M670" s="188"/>
      <c r="N670" s="188"/>
      <c r="O670" s="188"/>
      <c r="P670" s="188"/>
      <c r="Q670" s="146"/>
      <c r="R670" s="157"/>
      <c r="S670" s="158"/>
      <c r="T670" s="158"/>
      <c r="U670" s="158"/>
      <c r="V670" s="158"/>
      <c r="W670" s="158"/>
      <c r="X670" s="158"/>
      <c r="Y670" s="158"/>
      <c r="Z670" s="158"/>
      <c r="AA670" s="159"/>
      <c r="AB670" s="159"/>
      <c r="AC670" s="159"/>
      <c r="AD670" s="159"/>
      <c r="AE670" s="159"/>
      <c r="AF670" s="159"/>
      <c r="AG670" s="159"/>
      <c r="AH670" s="159"/>
      <c r="AI670" s="158"/>
      <c r="AJ670" s="158"/>
      <c r="AK670" s="158"/>
      <c r="AL670" s="158"/>
      <c r="AM670" s="158"/>
      <c r="AN670" s="158"/>
      <c r="AO670" s="158"/>
      <c r="AP670" s="158"/>
      <c r="AQ670" s="159"/>
      <c r="AR670" s="159"/>
      <c r="AS670" s="159"/>
      <c r="AT670" s="159"/>
      <c r="AU670" s="159"/>
      <c r="AV670" s="159"/>
      <c r="AW670" s="159"/>
      <c r="AX670" s="159"/>
      <c r="AY670" s="158"/>
      <c r="AZ670" s="158"/>
      <c r="BA670" s="158"/>
      <c r="BB670" s="158"/>
      <c r="BC670" s="158"/>
      <c r="BD670" s="158"/>
      <c r="BE670" s="158"/>
      <c r="BF670" s="158"/>
      <c r="BG670" s="427"/>
      <c r="BH670" s="424"/>
      <c r="BI670" s="424"/>
    </row>
    <row r="671" spans="1:63" s="152" customFormat="1" x14ac:dyDescent="0.2">
      <c r="A671" s="387"/>
      <c r="B671" s="395"/>
      <c r="C671" s="396"/>
      <c r="D671" s="395"/>
      <c r="E671" s="396"/>
      <c r="F671" s="395"/>
      <c r="G671" s="395"/>
      <c r="H671" s="396"/>
      <c r="I671" s="395"/>
      <c r="J671" s="395"/>
      <c r="K671" s="395"/>
      <c r="L671" s="188"/>
      <c r="M671" s="188"/>
      <c r="N671" s="188"/>
      <c r="O671" s="188"/>
      <c r="P671" s="188"/>
      <c r="Q671" s="146"/>
      <c r="R671" s="157"/>
      <c r="S671" s="158"/>
      <c r="T671" s="158"/>
      <c r="U671" s="158"/>
      <c r="V671" s="158"/>
      <c r="W671" s="158"/>
      <c r="X671" s="158"/>
      <c r="Y671" s="158"/>
      <c r="Z671" s="158"/>
      <c r="AA671" s="159"/>
      <c r="AB671" s="159"/>
      <c r="AC671" s="159"/>
      <c r="AD671" s="159"/>
      <c r="AE671" s="159"/>
      <c r="AF671" s="159"/>
      <c r="AG671" s="159"/>
      <c r="AH671" s="159"/>
      <c r="AI671" s="158"/>
      <c r="AJ671" s="158"/>
      <c r="AK671" s="158"/>
      <c r="AL671" s="158"/>
      <c r="AM671" s="158"/>
      <c r="AN671" s="158"/>
      <c r="AO671" s="158"/>
      <c r="AP671" s="158"/>
      <c r="AQ671" s="159"/>
      <c r="AR671" s="159"/>
      <c r="AS671" s="159"/>
      <c r="AT671" s="159"/>
      <c r="AU671" s="159"/>
      <c r="AV671" s="159"/>
      <c r="AW671" s="159"/>
      <c r="AX671" s="159"/>
      <c r="AY671" s="158"/>
      <c r="AZ671" s="158"/>
      <c r="BA671" s="158"/>
      <c r="BB671" s="158"/>
      <c r="BC671" s="158"/>
      <c r="BD671" s="158"/>
      <c r="BE671" s="158"/>
      <c r="BF671" s="158"/>
      <c r="BG671" s="427"/>
      <c r="BH671" s="424"/>
      <c r="BI671" s="424"/>
    </row>
    <row r="672" spans="1:63" x14ac:dyDescent="0.2">
      <c r="K672" s="395"/>
      <c r="L672" s="188"/>
      <c r="R672" s="157"/>
      <c r="S672" s="158"/>
      <c r="T672" s="158"/>
      <c r="U672" s="158"/>
      <c r="V672" s="158"/>
      <c r="W672" s="158"/>
      <c r="X672" s="158"/>
      <c r="Y672" s="158"/>
      <c r="Z672" s="158"/>
      <c r="AA672" s="159"/>
      <c r="AB672" s="159"/>
      <c r="AC672" s="159"/>
      <c r="AD672" s="159"/>
      <c r="AE672" s="159"/>
      <c r="AF672" s="159"/>
      <c r="AG672" s="159"/>
      <c r="AH672" s="159"/>
      <c r="AI672" s="158"/>
      <c r="AJ672" s="158"/>
      <c r="AK672" s="158"/>
      <c r="AL672" s="158"/>
      <c r="AM672" s="158"/>
      <c r="AN672" s="158"/>
      <c r="AO672" s="158"/>
      <c r="AP672" s="158"/>
      <c r="AQ672" s="159"/>
      <c r="AR672" s="159"/>
      <c r="AS672" s="159"/>
      <c r="AT672" s="159"/>
      <c r="AU672" s="159"/>
      <c r="AV672" s="159"/>
      <c r="AW672" s="159"/>
      <c r="AX672" s="159"/>
      <c r="AY672" s="158"/>
      <c r="AZ672" s="158"/>
      <c r="BA672" s="158"/>
      <c r="BB672" s="158"/>
      <c r="BC672" s="158"/>
      <c r="BD672" s="158"/>
      <c r="BE672" s="158"/>
      <c r="BF672" s="158"/>
      <c r="BG672" s="427"/>
      <c r="BH672" s="424"/>
      <c r="BI672" s="424"/>
    </row>
    <row r="673" spans="1:61" s="152" customFormat="1" x14ac:dyDescent="0.2">
      <c r="A673" s="387"/>
      <c r="B673" s="395"/>
      <c r="C673" s="396"/>
      <c r="D673" s="395"/>
      <c r="E673" s="396"/>
      <c r="F673" s="395"/>
      <c r="G673" s="395"/>
      <c r="H673" s="396"/>
      <c r="I673" s="395"/>
      <c r="J673" s="395"/>
      <c r="K673" s="395"/>
      <c r="L673" s="188"/>
      <c r="M673" s="188"/>
      <c r="N673" s="188"/>
      <c r="O673" s="188"/>
      <c r="P673" s="188"/>
      <c r="Q673" s="146"/>
      <c r="R673" s="157"/>
      <c r="S673" s="158"/>
      <c r="T673" s="158"/>
      <c r="U673" s="158"/>
      <c r="V673" s="158"/>
      <c r="W673" s="158"/>
      <c r="X673" s="158"/>
      <c r="Y673" s="158"/>
      <c r="Z673" s="158"/>
      <c r="AA673" s="159"/>
      <c r="AB673" s="159"/>
      <c r="AC673" s="159"/>
      <c r="AD673" s="159"/>
      <c r="AE673" s="159"/>
      <c r="AF673" s="159"/>
      <c r="AG673" s="159"/>
      <c r="AH673" s="159"/>
      <c r="AI673" s="158"/>
      <c r="AJ673" s="158"/>
      <c r="AK673" s="158"/>
      <c r="AL673" s="158"/>
      <c r="AM673" s="158"/>
      <c r="AN673" s="158"/>
      <c r="AO673" s="158"/>
      <c r="AP673" s="158"/>
      <c r="AQ673" s="159"/>
      <c r="AR673" s="159"/>
      <c r="AS673" s="159"/>
      <c r="AT673" s="159"/>
      <c r="AU673" s="159"/>
      <c r="AV673" s="159"/>
      <c r="AW673" s="159"/>
      <c r="AX673" s="159"/>
      <c r="AY673" s="158"/>
      <c r="AZ673" s="158"/>
      <c r="BA673" s="158"/>
      <c r="BB673" s="158"/>
      <c r="BC673" s="158"/>
      <c r="BD673" s="158"/>
      <c r="BE673" s="158"/>
      <c r="BF673" s="158"/>
      <c r="BG673" s="427"/>
      <c r="BH673" s="424"/>
      <c r="BI673" s="424"/>
    </row>
    <row r="674" spans="1:61" s="152" customFormat="1" x14ac:dyDescent="0.2">
      <c r="A674" s="387"/>
      <c r="B674" s="395"/>
      <c r="C674" s="396"/>
      <c r="D674" s="395"/>
      <c r="E674" s="396"/>
      <c r="F674" s="395"/>
      <c r="G674" s="395"/>
      <c r="H674" s="396"/>
      <c r="I674" s="395"/>
      <c r="J674" s="395"/>
      <c r="K674" s="395"/>
      <c r="L674" s="188"/>
      <c r="M674" s="188"/>
      <c r="N674" s="188"/>
      <c r="O674" s="188"/>
      <c r="P674" s="188"/>
      <c r="Q674" s="146"/>
      <c r="R674" s="157"/>
      <c r="S674" s="158"/>
      <c r="T674" s="158"/>
      <c r="U674" s="158"/>
      <c r="V674" s="158"/>
      <c r="W674" s="158"/>
      <c r="X674" s="158"/>
      <c r="Y674" s="158"/>
      <c r="Z674" s="158"/>
      <c r="AA674" s="159"/>
      <c r="AB674" s="159"/>
      <c r="AC674" s="159"/>
      <c r="AD674" s="159"/>
      <c r="AE674" s="159"/>
      <c r="AF674" s="159"/>
      <c r="AG674" s="159"/>
      <c r="AH674" s="159"/>
      <c r="AI674" s="158"/>
      <c r="AJ674" s="158"/>
      <c r="AK674" s="158"/>
      <c r="AL674" s="158"/>
      <c r="AM674" s="158"/>
      <c r="AN674" s="158"/>
      <c r="AO674" s="158"/>
      <c r="AP674" s="158"/>
      <c r="AQ674" s="159"/>
      <c r="AR674" s="159"/>
      <c r="AS674" s="159"/>
      <c r="AT674" s="159"/>
      <c r="AU674" s="159"/>
      <c r="AV674" s="159"/>
      <c r="AW674" s="159"/>
      <c r="AX674" s="159"/>
      <c r="AY674" s="158"/>
      <c r="AZ674" s="158"/>
      <c r="BA674" s="158"/>
      <c r="BB674" s="158"/>
      <c r="BC674" s="158"/>
      <c r="BD674" s="158"/>
      <c r="BE674" s="158"/>
      <c r="BF674" s="158"/>
      <c r="BG674" s="427"/>
      <c r="BH674" s="424"/>
      <c r="BI674" s="424"/>
    </row>
    <row r="675" spans="1:61" s="152" customFormat="1" x14ac:dyDescent="0.2">
      <c r="A675" s="387"/>
      <c r="B675" s="395"/>
      <c r="C675" s="396"/>
      <c r="D675" s="395"/>
      <c r="E675" s="396"/>
      <c r="F675" s="395"/>
      <c r="G675" s="395"/>
      <c r="H675" s="396"/>
      <c r="I675" s="395"/>
      <c r="J675" s="395"/>
      <c r="K675" s="395"/>
      <c r="L675" s="188"/>
      <c r="M675" s="188"/>
      <c r="N675" s="188"/>
      <c r="O675" s="188"/>
      <c r="P675" s="188"/>
      <c r="Q675" s="146"/>
      <c r="R675" s="157"/>
      <c r="S675" s="158"/>
      <c r="T675" s="158"/>
      <c r="U675" s="158"/>
      <c r="V675" s="158"/>
      <c r="W675" s="158"/>
      <c r="X675" s="158"/>
      <c r="Y675" s="158"/>
      <c r="Z675" s="158"/>
      <c r="AA675" s="159"/>
      <c r="AB675" s="159"/>
      <c r="AC675" s="159"/>
      <c r="AD675" s="159"/>
      <c r="AE675" s="159"/>
      <c r="AF675" s="159"/>
      <c r="AG675" s="159"/>
      <c r="AH675" s="159"/>
      <c r="AI675" s="158"/>
      <c r="AJ675" s="158"/>
      <c r="AK675" s="158"/>
      <c r="AL675" s="158"/>
      <c r="AM675" s="158"/>
      <c r="AN675" s="158"/>
      <c r="AO675" s="158"/>
      <c r="AP675" s="158"/>
      <c r="AQ675" s="159"/>
      <c r="AR675" s="159"/>
      <c r="AS675" s="159"/>
      <c r="AT675" s="159"/>
      <c r="AU675" s="159"/>
      <c r="AV675" s="159"/>
      <c r="AW675" s="159"/>
      <c r="AX675" s="159"/>
      <c r="AY675" s="158"/>
      <c r="AZ675" s="158"/>
      <c r="BA675" s="158"/>
      <c r="BB675" s="158"/>
      <c r="BC675" s="158"/>
      <c r="BD675" s="158"/>
      <c r="BE675" s="158"/>
      <c r="BF675" s="158"/>
      <c r="BG675" s="427"/>
      <c r="BH675" s="424"/>
      <c r="BI675" s="424"/>
    </row>
    <row r="676" spans="1:61" x14ac:dyDescent="0.2">
      <c r="K676" s="395"/>
      <c r="L676" s="188"/>
      <c r="R676" s="157"/>
      <c r="S676" s="158"/>
      <c r="T676" s="158"/>
      <c r="U676" s="158"/>
      <c r="V676" s="158"/>
      <c r="W676" s="158"/>
      <c r="X676" s="158"/>
      <c r="Y676" s="158"/>
      <c r="Z676" s="158"/>
      <c r="AA676" s="159"/>
      <c r="AB676" s="159"/>
      <c r="AC676" s="159"/>
      <c r="AD676" s="159"/>
      <c r="AE676" s="159"/>
      <c r="AF676" s="159"/>
      <c r="AG676" s="159"/>
      <c r="AH676" s="159"/>
      <c r="AI676" s="158"/>
      <c r="AJ676" s="158"/>
      <c r="AK676" s="158"/>
      <c r="AL676" s="158"/>
      <c r="AM676" s="158"/>
      <c r="AN676" s="158"/>
      <c r="AO676" s="158"/>
      <c r="AP676" s="158"/>
      <c r="AQ676" s="159"/>
      <c r="AR676" s="159"/>
      <c r="AS676" s="159"/>
      <c r="AT676" s="159"/>
      <c r="AU676" s="159"/>
      <c r="AV676" s="159"/>
      <c r="AW676" s="159"/>
      <c r="AX676" s="159"/>
      <c r="AY676" s="158"/>
      <c r="AZ676" s="158"/>
      <c r="BA676" s="158"/>
      <c r="BB676" s="158"/>
      <c r="BC676" s="158"/>
      <c r="BD676" s="158"/>
      <c r="BE676" s="158"/>
      <c r="BF676" s="158"/>
      <c r="BG676" s="427"/>
      <c r="BH676" s="424"/>
      <c r="BI676" s="424"/>
    </row>
    <row r="677" spans="1:61" x14ac:dyDescent="0.2">
      <c r="K677" s="395"/>
      <c r="L677" s="188"/>
      <c r="R677" s="157"/>
      <c r="S677" s="158"/>
      <c r="T677" s="158"/>
      <c r="U677" s="158"/>
      <c r="V677" s="158"/>
      <c r="W677" s="158"/>
      <c r="X677" s="158"/>
      <c r="Y677" s="158"/>
      <c r="Z677" s="158"/>
      <c r="AA677" s="159"/>
      <c r="AB677" s="159"/>
      <c r="AC677" s="159"/>
      <c r="AD677" s="159"/>
      <c r="AE677" s="159"/>
      <c r="AF677" s="159"/>
      <c r="AG677" s="159"/>
      <c r="AH677" s="159"/>
      <c r="AI677" s="158"/>
      <c r="AJ677" s="158"/>
      <c r="AK677" s="158"/>
      <c r="AL677" s="158"/>
      <c r="AM677" s="158"/>
      <c r="AN677" s="158"/>
      <c r="AO677" s="158"/>
      <c r="AP677" s="158"/>
      <c r="AQ677" s="159"/>
      <c r="AR677" s="159"/>
      <c r="AS677" s="159"/>
      <c r="AT677" s="159"/>
      <c r="AU677" s="159"/>
      <c r="AV677" s="159"/>
      <c r="AW677" s="159"/>
      <c r="AX677" s="159"/>
      <c r="AY677" s="158"/>
      <c r="AZ677" s="158"/>
      <c r="BA677" s="158"/>
      <c r="BB677" s="158"/>
      <c r="BC677" s="158"/>
      <c r="BD677" s="158"/>
      <c r="BE677" s="158"/>
      <c r="BF677" s="158"/>
      <c r="BG677" s="427"/>
      <c r="BH677" s="424"/>
      <c r="BI677" s="424"/>
    </row>
    <row r="678" spans="1:61" x14ac:dyDescent="0.2">
      <c r="K678" s="395"/>
      <c r="L678" s="188"/>
      <c r="R678" s="157"/>
      <c r="S678" s="158"/>
      <c r="T678" s="158"/>
      <c r="U678" s="158"/>
      <c r="V678" s="158"/>
      <c r="W678" s="158"/>
      <c r="X678" s="158"/>
      <c r="Y678" s="158"/>
      <c r="Z678" s="158"/>
      <c r="AA678" s="159"/>
      <c r="AB678" s="159"/>
      <c r="AC678" s="159"/>
      <c r="AD678" s="159"/>
      <c r="AE678" s="159"/>
      <c r="AF678" s="159"/>
      <c r="AG678" s="159"/>
      <c r="AH678" s="159"/>
      <c r="AI678" s="158"/>
      <c r="AJ678" s="158"/>
      <c r="AK678" s="158"/>
      <c r="AL678" s="158"/>
      <c r="AM678" s="158"/>
      <c r="AN678" s="158"/>
      <c r="AO678" s="158"/>
      <c r="AP678" s="158"/>
      <c r="AQ678" s="159"/>
      <c r="AR678" s="159"/>
      <c r="AS678" s="159"/>
      <c r="AT678" s="159"/>
      <c r="AU678" s="159"/>
      <c r="AV678" s="159"/>
      <c r="AW678" s="159"/>
      <c r="AX678" s="159"/>
      <c r="AY678" s="158"/>
      <c r="AZ678" s="158"/>
      <c r="BA678" s="158"/>
      <c r="BB678" s="158"/>
      <c r="BC678" s="158"/>
      <c r="BD678" s="158"/>
      <c r="BE678" s="158"/>
      <c r="BF678" s="158"/>
      <c r="BG678" s="427"/>
      <c r="BH678" s="424"/>
      <c r="BI678" s="424"/>
    </row>
    <row r="679" spans="1:61" x14ac:dyDescent="0.2">
      <c r="K679" s="395"/>
      <c r="L679" s="188"/>
      <c r="R679" s="157"/>
      <c r="S679" s="158"/>
      <c r="T679" s="158"/>
      <c r="U679" s="158"/>
      <c r="V679" s="158"/>
      <c r="W679" s="158"/>
      <c r="X679" s="158"/>
      <c r="Y679" s="158"/>
      <c r="Z679" s="158"/>
      <c r="AA679" s="159"/>
      <c r="AB679" s="159"/>
      <c r="AC679" s="159"/>
      <c r="AD679" s="159"/>
      <c r="AE679" s="159"/>
      <c r="AF679" s="159"/>
      <c r="AG679" s="159"/>
      <c r="AH679" s="159"/>
      <c r="AI679" s="158"/>
      <c r="AJ679" s="158"/>
      <c r="AK679" s="158"/>
      <c r="AL679" s="158"/>
      <c r="AM679" s="158"/>
      <c r="AN679" s="158"/>
      <c r="AO679" s="158"/>
      <c r="AP679" s="158"/>
      <c r="AQ679" s="159"/>
      <c r="AR679" s="159"/>
      <c r="AS679" s="159"/>
      <c r="AT679" s="159"/>
      <c r="AU679" s="159"/>
      <c r="AV679" s="159"/>
      <c r="AW679" s="159"/>
      <c r="AX679" s="159"/>
      <c r="AY679" s="158"/>
      <c r="AZ679" s="158"/>
      <c r="BA679" s="158"/>
      <c r="BB679" s="158"/>
      <c r="BC679" s="158"/>
      <c r="BD679" s="158"/>
      <c r="BE679" s="158"/>
      <c r="BF679" s="158"/>
      <c r="BG679" s="427"/>
      <c r="BH679" s="424"/>
      <c r="BI679" s="424"/>
    </row>
    <row r="680" spans="1:61" x14ac:dyDescent="0.2">
      <c r="K680" s="395"/>
      <c r="L680" s="188"/>
      <c r="R680" s="157"/>
      <c r="S680" s="158"/>
      <c r="T680" s="158"/>
      <c r="U680" s="158"/>
      <c r="V680" s="158"/>
      <c r="W680" s="158"/>
      <c r="X680" s="158"/>
      <c r="Y680" s="158"/>
      <c r="Z680" s="158"/>
      <c r="AA680" s="159"/>
      <c r="AB680" s="159"/>
      <c r="AC680" s="159"/>
      <c r="AD680" s="159"/>
      <c r="AE680" s="159"/>
      <c r="AF680" s="159"/>
      <c r="AG680" s="159"/>
      <c r="AH680" s="159"/>
      <c r="AI680" s="158"/>
      <c r="AJ680" s="158"/>
      <c r="AK680" s="158"/>
      <c r="AL680" s="158"/>
      <c r="AM680" s="158"/>
      <c r="AN680" s="158"/>
      <c r="AO680" s="158"/>
      <c r="AP680" s="158"/>
      <c r="AQ680" s="159"/>
      <c r="AR680" s="159"/>
      <c r="AS680" s="159"/>
      <c r="AT680" s="159"/>
      <c r="AU680" s="159"/>
      <c r="AV680" s="159"/>
      <c r="AW680" s="159"/>
      <c r="AX680" s="159"/>
      <c r="AY680" s="158"/>
      <c r="AZ680" s="158"/>
      <c r="BA680" s="158"/>
      <c r="BB680" s="158"/>
      <c r="BC680" s="158"/>
      <c r="BD680" s="158"/>
      <c r="BE680" s="158"/>
      <c r="BF680" s="158"/>
      <c r="BG680" s="427"/>
      <c r="BH680" s="424"/>
      <c r="BI680" s="424"/>
    </row>
    <row r="681" spans="1:61" x14ac:dyDescent="0.2">
      <c r="K681" s="395"/>
      <c r="L681" s="188"/>
      <c r="R681" s="157"/>
      <c r="S681" s="158"/>
      <c r="T681" s="158"/>
      <c r="U681" s="158"/>
      <c r="V681" s="158"/>
      <c r="W681" s="158"/>
      <c r="X681" s="158"/>
      <c r="Y681" s="158"/>
      <c r="Z681" s="158"/>
      <c r="AA681" s="159"/>
      <c r="AB681" s="159"/>
      <c r="AC681" s="159"/>
      <c r="AD681" s="159"/>
      <c r="AE681" s="159"/>
      <c r="AF681" s="159"/>
      <c r="AG681" s="159"/>
      <c r="AH681" s="159"/>
      <c r="AI681" s="158"/>
      <c r="AJ681" s="158"/>
      <c r="AK681" s="158"/>
      <c r="AL681" s="158"/>
      <c r="AM681" s="158"/>
      <c r="AN681" s="158"/>
      <c r="AO681" s="158"/>
      <c r="AP681" s="158"/>
      <c r="AQ681" s="159"/>
      <c r="AR681" s="159"/>
      <c r="AS681" s="159"/>
      <c r="AT681" s="159"/>
      <c r="AU681" s="159"/>
      <c r="AV681" s="159"/>
      <c r="AW681" s="159"/>
      <c r="AX681" s="159"/>
      <c r="AY681" s="158"/>
      <c r="AZ681" s="158"/>
      <c r="BA681" s="158"/>
      <c r="BB681" s="158"/>
      <c r="BC681" s="158"/>
      <c r="BD681" s="158"/>
      <c r="BE681" s="158"/>
      <c r="BF681" s="158"/>
      <c r="BG681" s="427"/>
      <c r="BH681" s="424"/>
      <c r="BI681" s="424"/>
    </row>
    <row r="682" spans="1:61" x14ac:dyDescent="0.2">
      <c r="K682" s="395"/>
      <c r="L682" s="188"/>
      <c r="R682" s="157"/>
      <c r="S682" s="158"/>
      <c r="T682" s="158"/>
      <c r="U682" s="158"/>
      <c r="V682" s="158"/>
      <c r="W682" s="158"/>
      <c r="X682" s="158"/>
      <c r="Y682" s="158"/>
      <c r="Z682" s="158"/>
      <c r="AA682" s="159"/>
      <c r="AB682" s="159"/>
      <c r="AC682" s="159"/>
      <c r="AD682" s="159"/>
      <c r="AE682" s="159"/>
      <c r="AF682" s="159"/>
      <c r="AG682" s="159"/>
      <c r="AH682" s="159"/>
      <c r="AI682" s="158"/>
      <c r="AJ682" s="158"/>
      <c r="AK682" s="158"/>
      <c r="AL682" s="158"/>
      <c r="AM682" s="158"/>
      <c r="AN682" s="158"/>
      <c r="AO682" s="158"/>
      <c r="AP682" s="158"/>
      <c r="AQ682" s="159"/>
      <c r="AR682" s="159"/>
      <c r="AS682" s="159"/>
      <c r="AT682" s="159"/>
      <c r="AU682" s="159"/>
      <c r="AV682" s="159"/>
      <c r="AW682" s="159"/>
      <c r="AX682" s="159"/>
      <c r="AY682" s="158"/>
      <c r="AZ682" s="158"/>
      <c r="BA682" s="158"/>
      <c r="BB682" s="158"/>
      <c r="BC682" s="158"/>
      <c r="BD682" s="158"/>
      <c r="BE682" s="158"/>
      <c r="BF682" s="158"/>
      <c r="BG682" s="427"/>
      <c r="BH682" s="424"/>
      <c r="BI682" s="424"/>
    </row>
    <row r="683" spans="1:61" x14ac:dyDescent="0.2">
      <c r="K683" s="395"/>
      <c r="L683" s="188"/>
      <c r="R683" s="157"/>
      <c r="S683" s="158"/>
      <c r="T683" s="158"/>
      <c r="U683" s="158"/>
      <c r="V683" s="158"/>
      <c r="W683" s="158"/>
      <c r="X683" s="158"/>
      <c r="Y683" s="158"/>
      <c r="Z683" s="158"/>
      <c r="AA683" s="159"/>
      <c r="AB683" s="159"/>
      <c r="AC683" s="159"/>
      <c r="AD683" s="159"/>
      <c r="AE683" s="159"/>
      <c r="AF683" s="159"/>
      <c r="AG683" s="159"/>
      <c r="AH683" s="159"/>
      <c r="AI683" s="158"/>
      <c r="AJ683" s="158"/>
      <c r="AK683" s="158"/>
      <c r="AL683" s="158"/>
      <c r="AM683" s="158"/>
      <c r="AN683" s="158"/>
      <c r="AO683" s="158"/>
      <c r="AP683" s="158"/>
      <c r="AQ683" s="159"/>
      <c r="AR683" s="159"/>
      <c r="AS683" s="159"/>
      <c r="AT683" s="159"/>
      <c r="AU683" s="159"/>
      <c r="AV683" s="159"/>
      <c r="AW683" s="159"/>
      <c r="AX683" s="159"/>
      <c r="AY683" s="158"/>
      <c r="AZ683" s="158"/>
      <c r="BA683" s="158"/>
      <c r="BB683" s="158"/>
      <c r="BC683" s="158"/>
      <c r="BD683" s="158"/>
      <c r="BE683" s="158"/>
      <c r="BF683" s="158"/>
      <c r="BG683" s="427"/>
      <c r="BH683" s="424"/>
      <c r="BI683" s="424"/>
    </row>
    <row r="684" spans="1:61" x14ac:dyDescent="0.2">
      <c r="K684" s="395"/>
      <c r="L684" s="188"/>
      <c r="R684" s="157"/>
      <c r="S684" s="158"/>
      <c r="T684" s="158"/>
      <c r="U684" s="158"/>
      <c r="V684" s="158"/>
      <c r="W684" s="158"/>
      <c r="X684" s="158"/>
      <c r="Y684" s="158"/>
      <c r="Z684" s="158"/>
      <c r="AA684" s="159"/>
      <c r="AB684" s="159"/>
      <c r="AC684" s="159"/>
      <c r="AD684" s="159"/>
      <c r="AE684" s="159"/>
      <c r="AF684" s="159"/>
      <c r="AG684" s="159"/>
      <c r="AH684" s="159"/>
      <c r="AI684" s="158"/>
      <c r="AJ684" s="158"/>
      <c r="AK684" s="158"/>
      <c r="AL684" s="158"/>
      <c r="AM684" s="158"/>
      <c r="AN684" s="158"/>
      <c r="AO684" s="158"/>
      <c r="AP684" s="158"/>
      <c r="AQ684" s="159"/>
      <c r="AR684" s="159"/>
      <c r="AS684" s="159"/>
      <c r="AT684" s="159"/>
      <c r="AU684" s="159"/>
      <c r="AV684" s="159"/>
      <c r="AW684" s="159"/>
      <c r="AX684" s="159"/>
      <c r="AY684" s="158"/>
      <c r="AZ684" s="158"/>
      <c r="BA684" s="158"/>
      <c r="BB684" s="158"/>
      <c r="BC684" s="158"/>
      <c r="BD684" s="158"/>
      <c r="BE684" s="158"/>
      <c r="BF684" s="158"/>
      <c r="BG684" s="427"/>
      <c r="BH684" s="424"/>
      <c r="BI684" s="424"/>
    </row>
    <row r="685" spans="1:61" s="152" customFormat="1" x14ac:dyDescent="0.2">
      <c r="A685" s="387"/>
      <c r="B685" s="395"/>
      <c r="C685" s="396"/>
      <c r="D685" s="395"/>
      <c r="E685" s="396"/>
      <c r="F685" s="395"/>
      <c r="G685" s="395"/>
      <c r="H685" s="396"/>
      <c r="I685" s="395"/>
      <c r="J685" s="395"/>
      <c r="K685" s="395"/>
      <c r="L685" s="188"/>
      <c r="M685" s="188"/>
      <c r="N685" s="188"/>
      <c r="O685" s="188"/>
      <c r="P685" s="188"/>
      <c r="Q685" s="146"/>
      <c r="R685" s="157"/>
      <c r="S685" s="158"/>
      <c r="T685" s="158"/>
      <c r="U685" s="158"/>
      <c r="V685" s="158"/>
      <c r="W685" s="158"/>
      <c r="X685" s="158"/>
      <c r="Y685" s="158"/>
      <c r="Z685" s="158"/>
      <c r="AA685" s="159"/>
      <c r="AB685" s="159"/>
      <c r="AC685" s="159"/>
      <c r="AD685" s="159"/>
      <c r="AE685" s="159"/>
      <c r="AF685" s="159"/>
      <c r="AG685" s="159"/>
      <c r="AH685" s="159"/>
      <c r="AI685" s="158"/>
      <c r="AJ685" s="158"/>
      <c r="AK685" s="158"/>
      <c r="AL685" s="158"/>
      <c r="AM685" s="158"/>
      <c r="AN685" s="158"/>
      <c r="AO685" s="158"/>
      <c r="AP685" s="158"/>
      <c r="AQ685" s="159"/>
      <c r="AR685" s="159"/>
      <c r="AS685" s="159"/>
      <c r="AT685" s="159"/>
      <c r="AU685" s="159"/>
      <c r="AV685" s="159"/>
      <c r="AW685" s="159"/>
      <c r="AX685" s="159"/>
      <c r="AY685" s="158"/>
      <c r="AZ685" s="158"/>
      <c r="BA685" s="158"/>
      <c r="BB685" s="158"/>
      <c r="BC685" s="158"/>
      <c r="BD685" s="158"/>
      <c r="BE685" s="158"/>
      <c r="BF685" s="158"/>
      <c r="BG685" s="427"/>
      <c r="BH685" s="424"/>
      <c r="BI685" s="424"/>
    </row>
    <row r="686" spans="1:61" x14ac:dyDescent="0.2">
      <c r="K686" s="395"/>
      <c r="L686" s="188"/>
      <c r="R686" s="157"/>
      <c r="S686" s="158"/>
      <c r="T686" s="158"/>
      <c r="U686" s="158"/>
      <c r="V686" s="158"/>
      <c r="W686" s="158"/>
      <c r="X686" s="158"/>
      <c r="Y686" s="158"/>
      <c r="Z686" s="158"/>
      <c r="AA686" s="159"/>
      <c r="AB686" s="159"/>
      <c r="AC686" s="159"/>
      <c r="AD686" s="159"/>
      <c r="AE686" s="159"/>
      <c r="AF686" s="159"/>
      <c r="AG686" s="159"/>
      <c r="AH686" s="159"/>
      <c r="AI686" s="158"/>
      <c r="AJ686" s="158"/>
      <c r="AK686" s="158"/>
      <c r="AL686" s="158"/>
      <c r="AM686" s="158"/>
      <c r="AN686" s="158"/>
      <c r="AO686" s="158"/>
      <c r="AP686" s="158"/>
      <c r="AQ686" s="159"/>
      <c r="AR686" s="159"/>
      <c r="AS686" s="159"/>
      <c r="AT686" s="159"/>
      <c r="AU686" s="159"/>
      <c r="AV686" s="159"/>
      <c r="AW686" s="159"/>
      <c r="AX686" s="159"/>
      <c r="AY686" s="158"/>
      <c r="AZ686" s="158"/>
      <c r="BA686" s="158"/>
      <c r="BB686" s="158"/>
      <c r="BC686" s="158"/>
      <c r="BD686" s="158"/>
      <c r="BE686" s="158"/>
      <c r="BF686" s="158"/>
      <c r="BG686" s="427"/>
      <c r="BH686" s="424"/>
      <c r="BI686" s="424"/>
    </row>
    <row r="687" spans="1:61" x14ac:dyDescent="0.2">
      <c r="K687" s="395"/>
      <c r="L687" s="188"/>
      <c r="R687" s="157"/>
      <c r="S687" s="158"/>
      <c r="T687" s="158"/>
      <c r="U687" s="158"/>
      <c r="V687" s="158"/>
      <c r="W687" s="158"/>
      <c r="X687" s="158"/>
      <c r="Y687" s="158"/>
      <c r="Z687" s="158"/>
      <c r="AA687" s="159"/>
      <c r="AB687" s="159"/>
      <c r="AC687" s="159"/>
      <c r="AD687" s="159"/>
      <c r="AE687" s="159"/>
      <c r="AF687" s="159"/>
      <c r="AG687" s="159"/>
      <c r="AH687" s="159"/>
      <c r="AI687" s="158"/>
      <c r="AJ687" s="158"/>
      <c r="AK687" s="158"/>
      <c r="AL687" s="158"/>
      <c r="AM687" s="158"/>
      <c r="AN687" s="158"/>
      <c r="AO687" s="158"/>
      <c r="AP687" s="158"/>
      <c r="AQ687" s="159"/>
      <c r="AR687" s="159"/>
      <c r="AS687" s="159"/>
      <c r="AT687" s="159"/>
      <c r="AU687" s="159"/>
      <c r="AV687" s="159"/>
      <c r="AW687" s="159"/>
      <c r="AX687" s="159"/>
      <c r="AY687" s="158"/>
      <c r="AZ687" s="158"/>
      <c r="BA687" s="158"/>
      <c r="BB687" s="158"/>
      <c r="BC687" s="158"/>
      <c r="BD687" s="158"/>
      <c r="BE687" s="158"/>
      <c r="BF687" s="158"/>
      <c r="BG687" s="427"/>
      <c r="BH687" s="424"/>
      <c r="BI687" s="424"/>
    </row>
    <row r="688" spans="1:61" x14ac:dyDescent="0.2">
      <c r="K688" s="395"/>
      <c r="L688" s="188"/>
      <c r="R688" s="157"/>
      <c r="S688" s="158"/>
      <c r="T688" s="158"/>
      <c r="U688" s="158"/>
      <c r="V688" s="158"/>
      <c r="W688" s="158"/>
      <c r="X688" s="158"/>
      <c r="Y688" s="158"/>
      <c r="Z688" s="158"/>
      <c r="AA688" s="159"/>
      <c r="AB688" s="159"/>
      <c r="AC688" s="159"/>
      <c r="AD688" s="159"/>
      <c r="AE688" s="159"/>
      <c r="AF688" s="159"/>
      <c r="AG688" s="159"/>
      <c r="AH688" s="159"/>
      <c r="AI688" s="158"/>
      <c r="AJ688" s="158"/>
      <c r="AK688" s="158"/>
      <c r="AL688" s="158"/>
      <c r="AM688" s="158"/>
      <c r="AN688" s="158"/>
      <c r="AO688" s="158"/>
      <c r="AP688" s="158"/>
      <c r="AQ688" s="159"/>
      <c r="AR688" s="159"/>
      <c r="AS688" s="159"/>
      <c r="AT688" s="159"/>
      <c r="AU688" s="159"/>
      <c r="AV688" s="159"/>
      <c r="AW688" s="159"/>
      <c r="AX688" s="159"/>
      <c r="AY688" s="158"/>
      <c r="AZ688" s="158"/>
      <c r="BA688" s="158"/>
      <c r="BB688" s="158"/>
      <c r="BC688" s="158"/>
      <c r="BD688" s="158"/>
      <c r="BE688" s="158"/>
      <c r="BF688" s="158"/>
      <c r="BG688" s="427"/>
      <c r="BH688" s="424"/>
      <c r="BI688" s="424"/>
    </row>
    <row r="689" spans="1:61" x14ac:dyDescent="0.2">
      <c r="K689" s="395"/>
      <c r="L689" s="188"/>
      <c r="R689" s="157"/>
      <c r="S689" s="158"/>
      <c r="T689" s="158"/>
      <c r="U689" s="158"/>
      <c r="V689" s="158"/>
      <c r="W689" s="158"/>
      <c r="X689" s="158"/>
      <c r="Y689" s="158"/>
      <c r="Z689" s="158"/>
      <c r="AA689" s="159"/>
      <c r="AB689" s="159"/>
      <c r="AC689" s="159"/>
      <c r="AD689" s="159"/>
      <c r="AE689" s="159"/>
      <c r="AF689" s="159"/>
      <c r="AG689" s="159"/>
      <c r="AH689" s="159"/>
      <c r="AI689" s="158"/>
      <c r="AJ689" s="158"/>
      <c r="AK689" s="158"/>
      <c r="AL689" s="158"/>
      <c r="AM689" s="158"/>
      <c r="AN689" s="158"/>
      <c r="AO689" s="158"/>
      <c r="AP689" s="158"/>
      <c r="AQ689" s="159"/>
      <c r="AR689" s="159"/>
      <c r="AS689" s="159"/>
      <c r="AT689" s="159"/>
      <c r="AU689" s="159"/>
      <c r="AV689" s="159"/>
      <c r="AW689" s="159"/>
      <c r="AX689" s="159"/>
      <c r="AY689" s="158"/>
      <c r="AZ689" s="158"/>
      <c r="BA689" s="158"/>
      <c r="BB689" s="158"/>
      <c r="BC689" s="158"/>
      <c r="BD689" s="158"/>
      <c r="BE689" s="158"/>
      <c r="BF689" s="158"/>
      <c r="BG689" s="427"/>
      <c r="BH689" s="424"/>
      <c r="BI689" s="424"/>
    </row>
    <row r="690" spans="1:61" x14ac:dyDescent="0.2">
      <c r="K690" s="395"/>
      <c r="L690" s="188"/>
      <c r="R690" s="157"/>
      <c r="S690" s="158"/>
      <c r="T690" s="158"/>
      <c r="U690" s="158"/>
      <c r="V690" s="158"/>
      <c r="W690" s="158"/>
      <c r="X690" s="158"/>
      <c r="Y690" s="158"/>
      <c r="Z690" s="158"/>
      <c r="AA690" s="159"/>
      <c r="AB690" s="159"/>
      <c r="AC690" s="159"/>
      <c r="AD690" s="159"/>
      <c r="AE690" s="159"/>
      <c r="AF690" s="159"/>
      <c r="AG690" s="159"/>
      <c r="AH690" s="159"/>
      <c r="AI690" s="158"/>
      <c r="AJ690" s="158"/>
      <c r="AK690" s="158"/>
      <c r="AL690" s="158"/>
      <c r="AM690" s="158"/>
      <c r="AN690" s="158"/>
      <c r="AO690" s="158"/>
      <c r="AP690" s="158"/>
      <c r="AQ690" s="159"/>
      <c r="AR690" s="159"/>
      <c r="AS690" s="159"/>
      <c r="AT690" s="159"/>
      <c r="AU690" s="159"/>
      <c r="AV690" s="159"/>
      <c r="AW690" s="159"/>
      <c r="AX690" s="159"/>
      <c r="AY690" s="158"/>
      <c r="AZ690" s="158"/>
      <c r="BA690" s="158"/>
      <c r="BB690" s="158"/>
      <c r="BC690" s="158"/>
      <c r="BD690" s="158"/>
      <c r="BE690" s="158"/>
      <c r="BF690" s="158"/>
      <c r="BG690" s="427"/>
      <c r="BH690" s="424"/>
      <c r="BI690" s="424"/>
    </row>
    <row r="691" spans="1:61" x14ac:dyDescent="0.2">
      <c r="K691" s="395"/>
      <c r="L691" s="188"/>
      <c r="R691" s="157"/>
      <c r="S691" s="158"/>
      <c r="T691" s="158"/>
      <c r="U691" s="158"/>
      <c r="V691" s="158"/>
      <c r="W691" s="158"/>
      <c r="X691" s="158"/>
      <c r="Y691" s="158"/>
      <c r="Z691" s="158"/>
      <c r="AA691" s="159"/>
      <c r="AB691" s="159"/>
      <c r="AC691" s="159"/>
      <c r="AD691" s="159"/>
      <c r="AE691" s="159"/>
      <c r="AF691" s="159"/>
      <c r="AG691" s="159"/>
      <c r="AH691" s="159"/>
      <c r="AI691" s="158"/>
      <c r="AJ691" s="158"/>
      <c r="AK691" s="158"/>
      <c r="AL691" s="158"/>
      <c r="AM691" s="158"/>
      <c r="AN691" s="158"/>
      <c r="AO691" s="158"/>
      <c r="AP691" s="158"/>
      <c r="AQ691" s="159"/>
      <c r="AR691" s="159"/>
      <c r="AS691" s="159"/>
      <c r="AT691" s="159"/>
      <c r="AU691" s="159"/>
      <c r="AV691" s="159"/>
      <c r="AW691" s="159"/>
      <c r="AX691" s="159"/>
      <c r="AY691" s="158"/>
      <c r="AZ691" s="158"/>
      <c r="BA691" s="158"/>
      <c r="BB691" s="158"/>
      <c r="BC691" s="158"/>
      <c r="BD691" s="158"/>
      <c r="BE691" s="158"/>
      <c r="BF691" s="158"/>
      <c r="BG691" s="427"/>
      <c r="BH691" s="424"/>
      <c r="BI691" s="424"/>
    </row>
    <row r="692" spans="1:61" x14ac:dyDescent="0.2">
      <c r="K692" s="395"/>
      <c r="L692" s="188"/>
      <c r="R692" s="157"/>
      <c r="S692" s="158"/>
      <c r="T692" s="158"/>
      <c r="U692" s="158"/>
      <c r="V692" s="158"/>
      <c r="W692" s="158"/>
      <c r="X692" s="158"/>
      <c r="Y692" s="158"/>
      <c r="Z692" s="158"/>
      <c r="AA692" s="159"/>
      <c r="AB692" s="159"/>
      <c r="AC692" s="159"/>
      <c r="AD692" s="159"/>
      <c r="AE692" s="159"/>
      <c r="AF692" s="159"/>
      <c r="AG692" s="159"/>
      <c r="AH692" s="159"/>
      <c r="AI692" s="158"/>
      <c r="AJ692" s="158"/>
      <c r="AK692" s="158"/>
      <c r="AL692" s="158"/>
      <c r="AM692" s="158"/>
      <c r="AN692" s="158"/>
      <c r="AO692" s="158"/>
      <c r="AP692" s="158"/>
      <c r="AQ692" s="159"/>
      <c r="AR692" s="159"/>
      <c r="AS692" s="159"/>
      <c r="AT692" s="159"/>
      <c r="AU692" s="159"/>
      <c r="AV692" s="159"/>
      <c r="AW692" s="159"/>
      <c r="AX692" s="159"/>
      <c r="AY692" s="158"/>
      <c r="AZ692" s="158"/>
      <c r="BA692" s="158"/>
      <c r="BB692" s="158"/>
      <c r="BC692" s="158"/>
      <c r="BD692" s="158"/>
      <c r="BE692" s="158"/>
      <c r="BF692" s="158"/>
      <c r="BG692" s="427"/>
      <c r="BH692" s="424"/>
      <c r="BI692" s="424"/>
    </row>
    <row r="693" spans="1:61" x14ac:dyDescent="0.2">
      <c r="K693" s="395"/>
      <c r="L693" s="188"/>
      <c r="R693" s="157"/>
      <c r="S693" s="158"/>
      <c r="T693" s="158"/>
      <c r="U693" s="158"/>
      <c r="V693" s="158"/>
      <c r="W693" s="158"/>
      <c r="X693" s="158"/>
      <c r="Y693" s="158"/>
      <c r="Z693" s="158"/>
      <c r="AA693" s="159"/>
      <c r="AB693" s="159"/>
      <c r="AC693" s="159"/>
      <c r="AD693" s="159"/>
      <c r="AE693" s="159"/>
      <c r="AF693" s="159"/>
      <c r="AG693" s="159"/>
      <c r="AH693" s="159"/>
      <c r="AI693" s="158"/>
      <c r="AJ693" s="158"/>
      <c r="AK693" s="158"/>
      <c r="AL693" s="158"/>
      <c r="AM693" s="158"/>
      <c r="AN693" s="158"/>
      <c r="AO693" s="158"/>
      <c r="AP693" s="158"/>
      <c r="AQ693" s="159"/>
      <c r="AR693" s="159"/>
      <c r="AS693" s="159"/>
      <c r="AT693" s="159"/>
      <c r="AU693" s="159"/>
      <c r="AV693" s="159"/>
      <c r="AW693" s="159"/>
      <c r="AX693" s="159"/>
      <c r="AY693" s="158"/>
      <c r="AZ693" s="158"/>
      <c r="BA693" s="158"/>
      <c r="BB693" s="158"/>
      <c r="BC693" s="158"/>
      <c r="BD693" s="158"/>
      <c r="BE693" s="158"/>
      <c r="BF693" s="158"/>
      <c r="BG693" s="427"/>
      <c r="BH693" s="424"/>
      <c r="BI693" s="424"/>
    </row>
    <row r="694" spans="1:61" x14ac:dyDescent="0.2">
      <c r="K694" s="395"/>
      <c r="L694" s="188"/>
      <c r="R694" s="157"/>
      <c r="S694" s="158"/>
      <c r="T694" s="158"/>
      <c r="U694" s="158"/>
      <c r="V694" s="158"/>
      <c r="W694" s="158"/>
      <c r="X694" s="158"/>
      <c r="Y694" s="158"/>
      <c r="Z694" s="158"/>
      <c r="AA694" s="159"/>
      <c r="AB694" s="159"/>
      <c r="AC694" s="159"/>
      <c r="AD694" s="159"/>
      <c r="AE694" s="159"/>
      <c r="AF694" s="159"/>
      <c r="AG694" s="159"/>
      <c r="AH694" s="159"/>
      <c r="AI694" s="158"/>
      <c r="AJ694" s="158"/>
      <c r="AK694" s="158"/>
      <c r="AL694" s="158"/>
      <c r="AM694" s="158"/>
      <c r="AN694" s="158"/>
      <c r="AO694" s="158"/>
      <c r="AP694" s="158"/>
      <c r="AQ694" s="159"/>
      <c r="AR694" s="159"/>
      <c r="AS694" s="159"/>
      <c r="AT694" s="159"/>
      <c r="AU694" s="159"/>
      <c r="AV694" s="159"/>
      <c r="AW694" s="159"/>
      <c r="AX694" s="159"/>
      <c r="AY694" s="158"/>
      <c r="AZ694" s="158"/>
      <c r="BA694" s="158"/>
      <c r="BB694" s="158"/>
      <c r="BC694" s="158"/>
      <c r="BD694" s="158"/>
      <c r="BE694" s="158"/>
      <c r="BF694" s="158"/>
      <c r="BG694" s="427"/>
      <c r="BH694" s="424"/>
      <c r="BI694" s="424"/>
    </row>
    <row r="695" spans="1:61" x14ac:dyDescent="0.2">
      <c r="K695" s="395"/>
      <c r="L695" s="188"/>
      <c r="R695" s="157"/>
      <c r="S695" s="158"/>
      <c r="T695" s="158"/>
      <c r="U695" s="158"/>
      <c r="V695" s="158"/>
      <c r="W695" s="158"/>
      <c r="X695" s="158"/>
      <c r="Y695" s="158"/>
      <c r="Z695" s="158"/>
      <c r="AA695" s="159"/>
      <c r="AB695" s="159"/>
      <c r="AC695" s="159"/>
      <c r="AD695" s="159"/>
      <c r="AE695" s="159"/>
      <c r="AF695" s="159"/>
      <c r="AG695" s="159"/>
      <c r="AH695" s="159"/>
      <c r="AI695" s="158"/>
      <c r="AJ695" s="158"/>
      <c r="AK695" s="158"/>
      <c r="AL695" s="158"/>
      <c r="AM695" s="158"/>
      <c r="AN695" s="158"/>
      <c r="AO695" s="158"/>
      <c r="AP695" s="158"/>
      <c r="AQ695" s="159"/>
      <c r="AR695" s="159"/>
      <c r="AS695" s="159"/>
      <c r="AT695" s="159"/>
      <c r="AU695" s="159"/>
      <c r="AV695" s="159"/>
      <c r="AW695" s="159"/>
      <c r="AX695" s="159"/>
      <c r="AY695" s="158"/>
      <c r="AZ695" s="158"/>
      <c r="BA695" s="158"/>
      <c r="BB695" s="158"/>
      <c r="BC695" s="158"/>
      <c r="BD695" s="158"/>
      <c r="BE695" s="158"/>
      <c r="BF695" s="158"/>
      <c r="BG695" s="427"/>
      <c r="BH695" s="424"/>
      <c r="BI695" s="424"/>
    </row>
    <row r="696" spans="1:61" x14ac:dyDescent="0.2">
      <c r="K696" s="395"/>
      <c r="L696" s="188"/>
      <c r="R696" s="157"/>
      <c r="S696" s="158"/>
      <c r="T696" s="158"/>
      <c r="U696" s="158"/>
      <c r="V696" s="158"/>
      <c r="W696" s="158"/>
      <c r="X696" s="158"/>
      <c r="Y696" s="158"/>
      <c r="Z696" s="158"/>
      <c r="AA696" s="159"/>
      <c r="AB696" s="159"/>
      <c r="AC696" s="159"/>
      <c r="AD696" s="159"/>
      <c r="AE696" s="159"/>
      <c r="AF696" s="159"/>
      <c r="AG696" s="159"/>
      <c r="AH696" s="159"/>
      <c r="AI696" s="158"/>
      <c r="AJ696" s="158"/>
      <c r="AK696" s="158"/>
      <c r="AL696" s="158"/>
      <c r="AM696" s="158"/>
      <c r="AN696" s="158"/>
      <c r="AO696" s="158"/>
      <c r="AP696" s="158"/>
      <c r="AQ696" s="159"/>
      <c r="AR696" s="159"/>
      <c r="AS696" s="159"/>
      <c r="AT696" s="159"/>
      <c r="AU696" s="159"/>
      <c r="AV696" s="159"/>
      <c r="AW696" s="159"/>
      <c r="AX696" s="159"/>
      <c r="AY696" s="158"/>
      <c r="AZ696" s="158"/>
      <c r="BA696" s="158"/>
      <c r="BB696" s="158"/>
      <c r="BC696" s="158"/>
      <c r="BD696" s="158"/>
      <c r="BE696" s="158"/>
      <c r="BF696" s="158"/>
      <c r="BG696" s="427"/>
      <c r="BH696" s="424"/>
      <c r="BI696" s="424"/>
    </row>
    <row r="697" spans="1:61" x14ac:dyDescent="0.2">
      <c r="K697" s="395"/>
      <c r="L697" s="188"/>
      <c r="R697" s="157"/>
      <c r="S697" s="158"/>
      <c r="T697" s="158"/>
      <c r="U697" s="158"/>
      <c r="V697" s="158"/>
      <c r="W697" s="158"/>
      <c r="X697" s="158"/>
      <c r="Y697" s="158"/>
      <c r="Z697" s="158"/>
      <c r="AA697" s="159"/>
      <c r="AB697" s="159"/>
      <c r="AC697" s="159"/>
      <c r="AD697" s="159"/>
      <c r="AE697" s="159"/>
      <c r="AF697" s="159"/>
      <c r="AG697" s="159"/>
      <c r="AH697" s="159"/>
      <c r="AI697" s="158"/>
      <c r="AJ697" s="158"/>
      <c r="AK697" s="158"/>
      <c r="AL697" s="158"/>
      <c r="AM697" s="158"/>
      <c r="AN697" s="158"/>
      <c r="AO697" s="158"/>
      <c r="AP697" s="158"/>
      <c r="AQ697" s="159"/>
      <c r="AR697" s="159"/>
      <c r="AS697" s="159"/>
      <c r="AT697" s="159"/>
      <c r="AU697" s="159"/>
      <c r="AV697" s="159"/>
      <c r="AW697" s="159"/>
      <c r="AX697" s="159"/>
      <c r="AY697" s="158"/>
      <c r="AZ697" s="158"/>
      <c r="BA697" s="158"/>
      <c r="BB697" s="158"/>
      <c r="BC697" s="158"/>
      <c r="BD697" s="158"/>
      <c r="BE697" s="158"/>
      <c r="BF697" s="158"/>
      <c r="BG697" s="427"/>
      <c r="BH697" s="424"/>
      <c r="BI697" s="424"/>
    </row>
    <row r="698" spans="1:61" x14ac:dyDescent="0.2">
      <c r="K698" s="395"/>
      <c r="L698" s="188"/>
      <c r="R698" s="157"/>
      <c r="S698" s="158"/>
      <c r="T698" s="158"/>
      <c r="U698" s="158"/>
      <c r="V698" s="158"/>
      <c r="W698" s="158"/>
      <c r="X698" s="158"/>
      <c r="Y698" s="158"/>
      <c r="Z698" s="158"/>
      <c r="AA698" s="159"/>
      <c r="AB698" s="159"/>
      <c r="AC698" s="159"/>
      <c r="AD698" s="159"/>
      <c r="AE698" s="159"/>
      <c r="AF698" s="159"/>
      <c r="AG698" s="159"/>
      <c r="AH698" s="159"/>
      <c r="AI698" s="158"/>
      <c r="AJ698" s="158"/>
      <c r="AK698" s="158"/>
      <c r="AL698" s="158"/>
      <c r="AM698" s="158"/>
      <c r="AN698" s="158"/>
      <c r="AO698" s="158"/>
      <c r="AP698" s="158"/>
      <c r="AQ698" s="159"/>
      <c r="AR698" s="159"/>
      <c r="AS698" s="159"/>
      <c r="AT698" s="159"/>
      <c r="AU698" s="159"/>
      <c r="AV698" s="159"/>
      <c r="AW698" s="159"/>
      <c r="AX698" s="159"/>
      <c r="AY698" s="158"/>
      <c r="AZ698" s="158"/>
      <c r="BA698" s="158"/>
      <c r="BB698" s="158"/>
      <c r="BC698" s="158"/>
      <c r="BD698" s="158"/>
      <c r="BE698" s="158"/>
      <c r="BF698" s="158"/>
      <c r="BG698" s="427"/>
      <c r="BH698" s="424"/>
      <c r="BI698" s="424"/>
    </row>
    <row r="699" spans="1:61" x14ac:dyDescent="0.2">
      <c r="K699" s="395"/>
      <c r="L699" s="188"/>
      <c r="R699" s="157"/>
      <c r="S699" s="158"/>
      <c r="T699" s="158"/>
      <c r="U699" s="158"/>
      <c r="V699" s="158"/>
      <c r="W699" s="158"/>
      <c r="X699" s="158"/>
      <c r="Y699" s="158"/>
      <c r="Z699" s="158"/>
      <c r="AA699" s="159"/>
      <c r="AB699" s="159"/>
      <c r="AC699" s="159"/>
      <c r="AD699" s="159"/>
      <c r="AE699" s="159"/>
      <c r="AF699" s="159"/>
      <c r="AG699" s="159"/>
      <c r="AH699" s="159"/>
      <c r="AI699" s="158"/>
      <c r="AJ699" s="158"/>
      <c r="AK699" s="158"/>
      <c r="AL699" s="158"/>
      <c r="AM699" s="158"/>
      <c r="AN699" s="158"/>
      <c r="AO699" s="158"/>
      <c r="AP699" s="158"/>
      <c r="AQ699" s="159"/>
      <c r="AR699" s="159"/>
      <c r="AS699" s="159"/>
      <c r="AT699" s="159"/>
      <c r="AU699" s="159"/>
      <c r="AV699" s="159"/>
      <c r="AW699" s="159"/>
      <c r="AX699" s="159"/>
      <c r="AY699" s="158"/>
      <c r="AZ699" s="158"/>
      <c r="BA699" s="158"/>
      <c r="BB699" s="158"/>
      <c r="BC699" s="158"/>
      <c r="BD699" s="158"/>
      <c r="BE699" s="158"/>
      <c r="BF699" s="158"/>
      <c r="BG699" s="427"/>
      <c r="BH699" s="424"/>
      <c r="BI699" s="424"/>
    </row>
    <row r="700" spans="1:61" x14ac:dyDescent="0.2">
      <c r="K700" s="395"/>
      <c r="L700" s="188"/>
      <c r="R700" s="157"/>
      <c r="S700" s="158"/>
      <c r="T700" s="158"/>
      <c r="U700" s="158"/>
      <c r="V700" s="158"/>
      <c r="W700" s="158"/>
      <c r="X700" s="158"/>
      <c r="Y700" s="158"/>
      <c r="Z700" s="158"/>
      <c r="AA700" s="159"/>
      <c r="AB700" s="159"/>
      <c r="AC700" s="159"/>
      <c r="AD700" s="159"/>
      <c r="AE700" s="159"/>
      <c r="AF700" s="159"/>
      <c r="AG700" s="159"/>
      <c r="AH700" s="159"/>
      <c r="AI700" s="158"/>
      <c r="AJ700" s="158"/>
      <c r="AK700" s="158"/>
      <c r="AL700" s="158"/>
      <c r="AM700" s="158"/>
      <c r="AN700" s="158"/>
      <c r="AO700" s="158"/>
      <c r="AP700" s="158"/>
      <c r="AQ700" s="159"/>
      <c r="AR700" s="159"/>
      <c r="AS700" s="159"/>
      <c r="AT700" s="159"/>
      <c r="AU700" s="159"/>
      <c r="AV700" s="159"/>
      <c r="AW700" s="159"/>
      <c r="AX700" s="159"/>
      <c r="AY700" s="158"/>
      <c r="AZ700" s="158"/>
      <c r="BA700" s="158"/>
      <c r="BB700" s="158"/>
      <c r="BC700" s="158"/>
      <c r="BD700" s="158"/>
      <c r="BE700" s="158"/>
      <c r="BF700" s="158"/>
      <c r="BG700" s="427"/>
      <c r="BH700" s="424"/>
      <c r="BI700" s="424"/>
    </row>
    <row r="701" spans="1:61" x14ac:dyDescent="0.2">
      <c r="K701" s="395"/>
      <c r="L701" s="188"/>
      <c r="R701" s="157"/>
      <c r="S701" s="158"/>
      <c r="T701" s="158"/>
      <c r="U701" s="158"/>
      <c r="V701" s="158"/>
      <c r="W701" s="158"/>
      <c r="X701" s="158"/>
      <c r="Y701" s="158"/>
      <c r="Z701" s="158"/>
      <c r="AA701" s="159"/>
      <c r="AB701" s="159"/>
      <c r="AC701" s="159"/>
      <c r="AD701" s="159"/>
      <c r="AE701" s="159"/>
      <c r="AF701" s="159"/>
      <c r="AG701" s="159"/>
      <c r="AH701" s="159"/>
      <c r="AI701" s="158"/>
      <c r="AJ701" s="158"/>
      <c r="AK701" s="158"/>
      <c r="AL701" s="158"/>
      <c r="AM701" s="158"/>
      <c r="AN701" s="158"/>
      <c r="AO701" s="158"/>
      <c r="AP701" s="158"/>
      <c r="AQ701" s="159"/>
      <c r="AR701" s="159"/>
      <c r="AS701" s="159"/>
      <c r="AT701" s="159"/>
      <c r="AU701" s="159"/>
      <c r="AV701" s="159"/>
      <c r="AW701" s="159"/>
      <c r="AX701" s="159"/>
      <c r="AY701" s="158"/>
      <c r="AZ701" s="158"/>
      <c r="BA701" s="158"/>
      <c r="BB701" s="158"/>
      <c r="BC701" s="158"/>
      <c r="BD701" s="158"/>
      <c r="BE701" s="158"/>
      <c r="BF701" s="158"/>
      <c r="BG701" s="427"/>
      <c r="BH701" s="424"/>
      <c r="BI701" s="424"/>
    </row>
    <row r="702" spans="1:61" x14ac:dyDescent="0.2">
      <c r="K702" s="395"/>
      <c r="L702" s="188"/>
      <c r="R702" s="157"/>
      <c r="S702" s="158"/>
      <c r="T702" s="158"/>
      <c r="U702" s="158"/>
      <c r="V702" s="158"/>
      <c r="W702" s="158"/>
      <c r="X702" s="158"/>
      <c r="Y702" s="158"/>
      <c r="Z702" s="158"/>
      <c r="AA702" s="159"/>
      <c r="AB702" s="159"/>
      <c r="AC702" s="159"/>
      <c r="AD702" s="159"/>
      <c r="AE702" s="159"/>
      <c r="AF702" s="159"/>
      <c r="AG702" s="159"/>
      <c r="AH702" s="159"/>
      <c r="AI702" s="158"/>
      <c r="AJ702" s="158"/>
      <c r="AK702" s="158"/>
      <c r="AL702" s="158"/>
      <c r="AM702" s="158"/>
      <c r="AN702" s="158"/>
      <c r="AO702" s="158"/>
      <c r="AP702" s="158"/>
      <c r="AQ702" s="159"/>
      <c r="AR702" s="159"/>
      <c r="AS702" s="159"/>
      <c r="AT702" s="159"/>
      <c r="AU702" s="159"/>
      <c r="AV702" s="159"/>
      <c r="AW702" s="159"/>
      <c r="AX702" s="159"/>
      <c r="AY702" s="158"/>
      <c r="AZ702" s="158"/>
      <c r="BA702" s="158"/>
      <c r="BB702" s="158"/>
      <c r="BC702" s="158"/>
      <c r="BD702" s="158"/>
      <c r="BE702" s="158"/>
      <c r="BF702" s="158"/>
      <c r="BG702" s="427"/>
      <c r="BH702" s="424"/>
      <c r="BI702" s="424"/>
    </row>
    <row r="703" spans="1:61" s="152" customFormat="1" x14ac:dyDescent="0.2">
      <c r="A703" s="387"/>
      <c r="B703" s="395"/>
      <c r="C703" s="396"/>
      <c r="D703" s="395"/>
      <c r="E703" s="396"/>
      <c r="F703" s="395"/>
      <c r="G703" s="395"/>
      <c r="H703" s="396"/>
      <c r="I703" s="395"/>
      <c r="J703" s="395"/>
      <c r="K703" s="395"/>
      <c r="L703" s="188"/>
      <c r="M703" s="188"/>
      <c r="N703" s="188"/>
      <c r="O703" s="188"/>
      <c r="P703" s="188"/>
      <c r="Q703" s="146"/>
      <c r="R703" s="157"/>
      <c r="S703" s="158"/>
      <c r="T703" s="158"/>
      <c r="U703" s="158"/>
      <c r="V703" s="158"/>
      <c r="W703" s="158"/>
      <c r="X703" s="158"/>
      <c r="Y703" s="158"/>
      <c r="Z703" s="158"/>
      <c r="AA703" s="159"/>
      <c r="AB703" s="159"/>
      <c r="AC703" s="159"/>
      <c r="AD703" s="159"/>
      <c r="AE703" s="159"/>
      <c r="AF703" s="159"/>
      <c r="AG703" s="159"/>
      <c r="AH703" s="159"/>
      <c r="AI703" s="158"/>
      <c r="AJ703" s="158"/>
      <c r="AK703" s="158"/>
      <c r="AL703" s="158"/>
      <c r="AM703" s="158"/>
      <c r="AN703" s="158"/>
      <c r="AO703" s="158"/>
      <c r="AP703" s="158"/>
      <c r="AQ703" s="159"/>
      <c r="AR703" s="159"/>
      <c r="AS703" s="159"/>
      <c r="AT703" s="159"/>
      <c r="AU703" s="159"/>
      <c r="AV703" s="159"/>
      <c r="AW703" s="159"/>
      <c r="AX703" s="159"/>
      <c r="AY703" s="158"/>
      <c r="AZ703" s="158"/>
      <c r="BA703" s="158"/>
      <c r="BB703" s="158"/>
      <c r="BC703" s="158"/>
      <c r="BD703" s="158"/>
      <c r="BE703" s="158"/>
      <c r="BF703" s="158"/>
      <c r="BG703" s="427"/>
      <c r="BH703" s="424"/>
      <c r="BI703" s="424"/>
    </row>
    <row r="704" spans="1:61" x14ac:dyDescent="0.2">
      <c r="K704" s="395"/>
      <c r="L704" s="188"/>
      <c r="R704" s="157"/>
      <c r="S704" s="158"/>
      <c r="T704" s="158"/>
      <c r="U704" s="158"/>
      <c r="V704" s="158"/>
      <c r="W704" s="158"/>
      <c r="X704" s="158"/>
      <c r="Y704" s="158"/>
      <c r="Z704" s="158"/>
      <c r="AA704" s="159"/>
      <c r="AB704" s="159"/>
      <c r="AC704" s="159"/>
      <c r="AD704" s="159"/>
      <c r="AE704" s="159"/>
      <c r="AF704" s="159"/>
      <c r="AG704" s="159"/>
      <c r="AH704" s="159"/>
      <c r="AI704" s="158"/>
      <c r="AJ704" s="158"/>
      <c r="AK704" s="158"/>
      <c r="AL704" s="158"/>
      <c r="AM704" s="158"/>
      <c r="AN704" s="158"/>
      <c r="AO704" s="158"/>
      <c r="AP704" s="158"/>
      <c r="AQ704" s="159"/>
      <c r="AR704" s="159"/>
      <c r="AS704" s="159"/>
      <c r="AT704" s="159"/>
      <c r="AU704" s="159"/>
      <c r="AV704" s="159"/>
      <c r="AW704" s="159"/>
      <c r="AX704" s="159"/>
      <c r="AY704" s="158"/>
      <c r="AZ704" s="158"/>
      <c r="BA704" s="158"/>
      <c r="BB704" s="158"/>
      <c r="BC704" s="158"/>
      <c r="BD704" s="158"/>
      <c r="BE704" s="158"/>
      <c r="BF704" s="158"/>
      <c r="BG704" s="427"/>
      <c r="BH704" s="424"/>
      <c r="BI704" s="424"/>
    </row>
    <row r="705" spans="1:61" x14ac:dyDescent="0.2">
      <c r="K705" s="395"/>
      <c r="L705" s="188"/>
      <c r="R705" s="157"/>
      <c r="S705" s="158"/>
      <c r="T705" s="158"/>
      <c r="U705" s="158"/>
      <c r="V705" s="158"/>
      <c r="W705" s="158"/>
      <c r="X705" s="158"/>
      <c r="Y705" s="158"/>
      <c r="Z705" s="158"/>
      <c r="AA705" s="159"/>
      <c r="AB705" s="159"/>
      <c r="AC705" s="159"/>
      <c r="AD705" s="159"/>
      <c r="AE705" s="159"/>
      <c r="AF705" s="159"/>
      <c r="AG705" s="159"/>
      <c r="AH705" s="159"/>
      <c r="AI705" s="158"/>
      <c r="AJ705" s="158"/>
      <c r="AK705" s="158"/>
      <c r="AL705" s="158"/>
      <c r="AM705" s="158"/>
      <c r="AN705" s="158"/>
      <c r="AO705" s="158"/>
      <c r="AP705" s="158"/>
      <c r="AQ705" s="159"/>
      <c r="AR705" s="159"/>
      <c r="AS705" s="159"/>
      <c r="AT705" s="159"/>
      <c r="AU705" s="159"/>
      <c r="AV705" s="159"/>
      <c r="AW705" s="159"/>
      <c r="AX705" s="159"/>
      <c r="AY705" s="158"/>
      <c r="AZ705" s="158"/>
      <c r="BA705" s="158"/>
      <c r="BB705" s="158"/>
      <c r="BC705" s="158"/>
      <c r="BD705" s="158"/>
      <c r="BE705" s="158"/>
      <c r="BF705" s="158"/>
      <c r="BG705" s="427"/>
      <c r="BH705" s="424"/>
      <c r="BI705" s="424"/>
    </row>
    <row r="706" spans="1:61" s="152" customFormat="1" x14ac:dyDescent="0.2">
      <c r="A706" s="387"/>
      <c r="B706" s="395"/>
      <c r="C706" s="396"/>
      <c r="D706" s="395"/>
      <c r="E706" s="396"/>
      <c r="F706" s="395"/>
      <c r="G706" s="395"/>
      <c r="H706" s="396"/>
      <c r="I706" s="395"/>
      <c r="J706" s="395"/>
      <c r="K706" s="395"/>
      <c r="L706" s="188"/>
      <c r="M706" s="188"/>
      <c r="N706" s="188"/>
      <c r="O706" s="188"/>
      <c r="P706" s="188"/>
      <c r="Q706" s="146"/>
      <c r="R706" s="157"/>
      <c r="S706" s="158"/>
      <c r="T706" s="158"/>
      <c r="U706" s="158"/>
      <c r="V706" s="158"/>
      <c r="W706" s="158"/>
      <c r="X706" s="158"/>
      <c r="Y706" s="158"/>
      <c r="Z706" s="158"/>
      <c r="AA706" s="159"/>
      <c r="AB706" s="159"/>
      <c r="AC706" s="159"/>
      <c r="AD706" s="159"/>
      <c r="AE706" s="159"/>
      <c r="AF706" s="159"/>
      <c r="AG706" s="159"/>
      <c r="AH706" s="159"/>
      <c r="AI706" s="158"/>
      <c r="AJ706" s="158"/>
      <c r="AK706" s="158"/>
      <c r="AL706" s="158"/>
      <c r="AM706" s="158"/>
      <c r="AN706" s="158"/>
      <c r="AO706" s="158"/>
      <c r="AP706" s="158"/>
      <c r="AQ706" s="159"/>
      <c r="AR706" s="159"/>
      <c r="AS706" s="159"/>
      <c r="AT706" s="159"/>
      <c r="AU706" s="159"/>
      <c r="AV706" s="159"/>
      <c r="AW706" s="159"/>
      <c r="AX706" s="159"/>
      <c r="AY706" s="158"/>
      <c r="AZ706" s="158"/>
      <c r="BA706" s="158"/>
      <c r="BB706" s="158"/>
      <c r="BC706" s="158"/>
      <c r="BD706" s="158"/>
      <c r="BE706" s="158"/>
      <c r="BF706" s="158"/>
      <c r="BG706" s="427"/>
      <c r="BH706" s="424"/>
      <c r="BI706" s="424"/>
    </row>
    <row r="707" spans="1:61" x14ac:dyDescent="0.2">
      <c r="K707" s="395"/>
      <c r="L707" s="188"/>
      <c r="R707" s="157"/>
      <c r="S707" s="158"/>
      <c r="T707" s="158"/>
      <c r="U707" s="158"/>
      <c r="V707" s="158"/>
      <c r="W707" s="158"/>
      <c r="X707" s="158"/>
      <c r="Y707" s="158"/>
      <c r="Z707" s="158"/>
      <c r="AA707" s="159"/>
      <c r="AB707" s="159"/>
      <c r="AC707" s="159"/>
      <c r="AD707" s="159"/>
      <c r="AE707" s="159"/>
      <c r="AF707" s="159"/>
      <c r="AG707" s="159"/>
      <c r="AH707" s="159"/>
      <c r="AI707" s="158"/>
      <c r="AJ707" s="158"/>
      <c r="AK707" s="158"/>
      <c r="AL707" s="158"/>
      <c r="AM707" s="158"/>
      <c r="AN707" s="158"/>
      <c r="AO707" s="158"/>
      <c r="AP707" s="158"/>
      <c r="AQ707" s="159"/>
      <c r="AR707" s="159"/>
      <c r="AS707" s="159"/>
      <c r="AT707" s="159"/>
      <c r="AU707" s="159"/>
      <c r="AV707" s="159"/>
      <c r="AW707" s="159"/>
      <c r="AX707" s="159"/>
      <c r="AY707" s="158"/>
      <c r="AZ707" s="158"/>
      <c r="BA707" s="158"/>
      <c r="BB707" s="158"/>
      <c r="BC707" s="158"/>
      <c r="BD707" s="158"/>
      <c r="BE707" s="158"/>
      <c r="BF707" s="158"/>
      <c r="BG707" s="427"/>
      <c r="BH707" s="424"/>
      <c r="BI707" s="424"/>
    </row>
    <row r="708" spans="1:61" x14ac:dyDescent="0.2">
      <c r="K708" s="395"/>
      <c r="L708" s="188"/>
      <c r="R708" s="157"/>
      <c r="S708" s="158"/>
      <c r="T708" s="158"/>
      <c r="U708" s="158"/>
      <c r="V708" s="158"/>
      <c r="W708" s="158"/>
      <c r="X708" s="158"/>
      <c r="Y708" s="158"/>
      <c r="Z708" s="158"/>
      <c r="AA708" s="159"/>
      <c r="AB708" s="159"/>
      <c r="AC708" s="159"/>
      <c r="AD708" s="159"/>
      <c r="AE708" s="159"/>
      <c r="AF708" s="159"/>
      <c r="AG708" s="159"/>
      <c r="AH708" s="159"/>
      <c r="AI708" s="158"/>
      <c r="AJ708" s="158"/>
      <c r="AK708" s="158"/>
      <c r="AL708" s="158"/>
      <c r="AM708" s="158"/>
      <c r="AN708" s="158"/>
      <c r="AO708" s="158"/>
      <c r="AP708" s="158"/>
      <c r="AQ708" s="159"/>
      <c r="AR708" s="159"/>
      <c r="AS708" s="159"/>
      <c r="AT708" s="159"/>
      <c r="AU708" s="159"/>
      <c r="AV708" s="159"/>
      <c r="AW708" s="159"/>
      <c r="AX708" s="159"/>
      <c r="AY708" s="158"/>
      <c r="AZ708" s="158"/>
      <c r="BA708" s="158"/>
      <c r="BB708" s="158"/>
      <c r="BC708" s="158"/>
      <c r="BD708" s="158"/>
      <c r="BE708" s="158"/>
      <c r="BF708" s="158"/>
      <c r="BG708" s="427"/>
      <c r="BH708" s="424"/>
      <c r="BI708" s="424"/>
    </row>
    <row r="709" spans="1:61" x14ac:dyDescent="0.2">
      <c r="K709" s="395"/>
      <c r="L709" s="188"/>
      <c r="R709" s="157"/>
      <c r="S709" s="158"/>
      <c r="T709" s="158"/>
      <c r="U709" s="158"/>
      <c r="V709" s="158"/>
      <c r="W709" s="158"/>
      <c r="X709" s="158"/>
      <c r="Y709" s="158"/>
      <c r="Z709" s="158"/>
      <c r="AA709" s="159"/>
      <c r="AB709" s="159"/>
      <c r="AC709" s="159"/>
      <c r="AD709" s="159"/>
      <c r="AE709" s="159"/>
      <c r="AF709" s="159"/>
      <c r="AG709" s="159"/>
      <c r="AH709" s="159"/>
      <c r="AI709" s="158"/>
      <c r="AJ709" s="158"/>
      <c r="AK709" s="158"/>
      <c r="AL709" s="158"/>
      <c r="AM709" s="158"/>
      <c r="AN709" s="158"/>
      <c r="AO709" s="158"/>
      <c r="AP709" s="158"/>
      <c r="AQ709" s="159"/>
      <c r="AR709" s="159"/>
      <c r="AS709" s="159"/>
      <c r="AT709" s="159"/>
      <c r="AU709" s="159"/>
      <c r="AV709" s="159"/>
      <c r="AW709" s="159"/>
      <c r="AX709" s="159"/>
      <c r="AY709" s="158"/>
      <c r="AZ709" s="158"/>
      <c r="BA709" s="158"/>
      <c r="BB709" s="158"/>
      <c r="BC709" s="158"/>
      <c r="BD709" s="158"/>
      <c r="BE709" s="158"/>
      <c r="BF709" s="158"/>
      <c r="BG709" s="427"/>
      <c r="BH709" s="424"/>
      <c r="BI709" s="424"/>
    </row>
    <row r="710" spans="1:61" x14ac:dyDescent="0.2">
      <c r="K710" s="395"/>
      <c r="L710" s="188"/>
      <c r="R710" s="157"/>
      <c r="S710" s="158"/>
      <c r="T710" s="158"/>
      <c r="U710" s="158"/>
      <c r="V710" s="158"/>
      <c r="W710" s="158"/>
      <c r="X710" s="158"/>
      <c r="Y710" s="158"/>
      <c r="Z710" s="158"/>
      <c r="AA710" s="159"/>
      <c r="AB710" s="159"/>
      <c r="AC710" s="159"/>
      <c r="AD710" s="159"/>
      <c r="AE710" s="159"/>
      <c r="AF710" s="159"/>
      <c r="AG710" s="159"/>
      <c r="AH710" s="159"/>
      <c r="AI710" s="158"/>
      <c r="AJ710" s="158"/>
      <c r="AK710" s="158"/>
      <c r="AL710" s="158"/>
      <c r="AM710" s="158"/>
      <c r="AN710" s="158"/>
      <c r="AO710" s="158"/>
      <c r="AP710" s="158"/>
      <c r="AQ710" s="159"/>
      <c r="AR710" s="159"/>
      <c r="AS710" s="159"/>
      <c r="AT710" s="159"/>
      <c r="AU710" s="159"/>
      <c r="AV710" s="159"/>
      <c r="AW710" s="159"/>
      <c r="AX710" s="159"/>
      <c r="AY710" s="158"/>
      <c r="AZ710" s="158"/>
      <c r="BA710" s="158"/>
      <c r="BB710" s="158"/>
      <c r="BC710" s="158"/>
      <c r="BD710" s="158"/>
      <c r="BE710" s="158"/>
      <c r="BF710" s="158"/>
      <c r="BG710" s="427"/>
      <c r="BH710" s="424"/>
      <c r="BI710" s="424"/>
    </row>
    <row r="711" spans="1:61" x14ac:dyDescent="0.2">
      <c r="K711" s="395"/>
      <c r="L711" s="188"/>
      <c r="R711" s="157"/>
      <c r="S711" s="158"/>
      <c r="T711" s="158"/>
      <c r="U711" s="158"/>
      <c r="V711" s="158"/>
      <c r="W711" s="158"/>
      <c r="X711" s="158"/>
      <c r="Y711" s="158"/>
      <c r="Z711" s="158"/>
      <c r="AA711" s="159"/>
      <c r="AB711" s="159"/>
      <c r="AC711" s="159"/>
      <c r="AD711" s="159"/>
      <c r="AE711" s="159"/>
      <c r="AF711" s="159"/>
      <c r="AG711" s="159"/>
      <c r="AH711" s="159"/>
      <c r="AI711" s="158"/>
      <c r="AJ711" s="158"/>
      <c r="AK711" s="158"/>
      <c r="AL711" s="158"/>
      <c r="AM711" s="158"/>
      <c r="AN711" s="158"/>
      <c r="AO711" s="158"/>
      <c r="AP711" s="158"/>
      <c r="AQ711" s="159"/>
      <c r="AR711" s="159"/>
      <c r="AS711" s="159"/>
      <c r="AT711" s="159"/>
      <c r="AU711" s="159"/>
      <c r="AV711" s="159"/>
      <c r="AW711" s="159"/>
      <c r="AX711" s="159"/>
      <c r="AY711" s="158"/>
      <c r="AZ711" s="158"/>
      <c r="BA711" s="158"/>
      <c r="BB711" s="158"/>
      <c r="BC711" s="158"/>
      <c r="BD711" s="158"/>
      <c r="BE711" s="158"/>
      <c r="BF711" s="158"/>
      <c r="BG711" s="427"/>
      <c r="BH711" s="424"/>
      <c r="BI711" s="424"/>
    </row>
    <row r="712" spans="1:61" s="152" customFormat="1" x14ac:dyDescent="0.2">
      <c r="A712" s="387"/>
      <c r="B712" s="395"/>
      <c r="C712" s="396"/>
      <c r="D712" s="395"/>
      <c r="E712" s="396"/>
      <c r="F712" s="395"/>
      <c r="G712" s="395"/>
      <c r="H712" s="396"/>
      <c r="I712" s="395"/>
      <c r="J712" s="395"/>
      <c r="K712" s="395"/>
      <c r="L712" s="188"/>
      <c r="M712" s="188"/>
      <c r="N712" s="188"/>
      <c r="O712" s="188"/>
      <c r="P712" s="188"/>
      <c r="Q712" s="146"/>
      <c r="R712" s="157"/>
      <c r="S712" s="158"/>
      <c r="T712" s="158"/>
      <c r="U712" s="158"/>
      <c r="V712" s="158"/>
      <c r="W712" s="158"/>
      <c r="X712" s="158"/>
      <c r="Y712" s="158"/>
      <c r="Z712" s="158"/>
      <c r="AA712" s="159"/>
      <c r="AB712" s="159"/>
      <c r="AC712" s="159"/>
      <c r="AD712" s="159"/>
      <c r="AE712" s="159"/>
      <c r="AF712" s="159"/>
      <c r="AG712" s="159"/>
      <c r="AH712" s="159"/>
      <c r="AI712" s="158"/>
      <c r="AJ712" s="158"/>
      <c r="AK712" s="158"/>
      <c r="AL712" s="158"/>
      <c r="AM712" s="158"/>
      <c r="AN712" s="158"/>
      <c r="AO712" s="158"/>
      <c r="AP712" s="158"/>
      <c r="AQ712" s="159"/>
      <c r="AR712" s="159"/>
      <c r="AS712" s="159"/>
      <c r="AT712" s="159"/>
      <c r="AU712" s="159"/>
      <c r="AV712" s="159"/>
      <c r="AW712" s="159"/>
      <c r="AX712" s="159"/>
      <c r="AY712" s="158"/>
      <c r="AZ712" s="158"/>
      <c r="BA712" s="158"/>
      <c r="BB712" s="158"/>
      <c r="BC712" s="158"/>
      <c r="BD712" s="158"/>
      <c r="BE712" s="158"/>
      <c r="BF712" s="158"/>
      <c r="BG712" s="427"/>
      <c r="BH712" s="424"/>
      <c r="BI712" s="424"/>
    </row>
    <row r="713" spans="1:61" x14ac:dyDescent="0.2">
      <c r="K713" s="395"/>
      <c r="L713" s="188"/>
      <c r="R713" s="157"/>
      <c r="S713" s="158"/>
      <c r="T713" s="158"/>
      <c r="U713" s="158"/>
      <c r="V713" s="158"/>
      <c r="W713" s="158"/>
      <c r="X713" s="158"/>
      <c r="Y713" s="158"/>
      <c r="Z713" s="158"/>
      <c r="AA713" s="159"/>
      <c r="AB713" s="159"/>
      <c r="AC713" s="159"/>
      <c r="AD713" s="159"/>
      <c r="AE713" s="159"/>
      <c r="AF713" s="159"/>
      <c r="AG713" s="159"/>
      <c r="AH713" s="159"/>
      <c r="AI713" s="158"/>
      <c r="AJ713" s="158"/>
      <c r="AK713" s="158"/>
      <c r="AL713" s="158"/>
      <c r="AM713" s="158"/>
      <c r="AN713" s="158"/>
      <c r="AO713" s="158"/>
      <c r="AP713" s="158"/>
      <c r="AQ713" s="159"/>
      <c r="AR713" s="159"/>
      <c r="AS713" s="159"/>
      <c r="AT713" s="159"/>
      <c r="AU713" s="159"/>
      <c r="AV713" s="159"/>
      <c r="AW713" s="159"/>
      <c r="AX713" s="159"/>
      <c r="AY713" s="158"/>
      <c r="AZ713" s="158"/>
      <c r="BA713" s="158"/>
      <c r="BB713" s="158"/>
      <c r="BC713" s="158"/>
      <c r="BD713" s="158"/>
      <c r="BE713" s="158"/>
      <c r="BF713" s="158"/>
      <c r="BG713" s="427"/>
      <c r="BH713" s="424"/>
      <c r="BI713" s="424"/>
    </row>
    <row r="714" spans="1:61" x14ac:dyDescent="0.2">
      <c r="K714" s="395"/>
      <c r="L714" s="188"/>
      <c r="R714" s="157"/>
      <c r="S714" s="158"/>
      <c r="T714" s="158"/>
      <c r="U714" s="158"/>
      <c r="V714" s="158"/>
      <c r="W714" s="158"/>
      <c r="X714" s="158"/>
      <c r="Y714" s="158"/>
      <c r="Z714" s="158"/>
      <c r="AA714" s="159"/>
      <c r="AB714" s="159"/>
      <c r="AC714" s="159"/>
      <c r="AD714" s="159"/>
      <c r="AE714" s="159"/>
      <c r="AF714" s="159"/>
      <c r="AG714" s="159"/>
      <c r="AH714" s="159"/>
      <c r="AI714" s="158"/>
      <c r="AJ714" s="158"/>
      <c r="AK714" s="158"/>
      <c r="AL714" s="158"/>
      <c r="AM714" s="158"/>
      <c r="AN714" s="158"/>
      <c r="AO714" s="158"/>
      <c r="AP714" s="158"/>
      <c r="AQ714" s="159"/>
      <c r="AR714" s="159"/>
      <c r="AS714" s="159"/>
      <c r="AT714" s="159"/>
      <c r="AU714" s="159"/>
      <c r="AV714" s="159"/>
      <c r="AW714" s="159"/>
      <c r="AX714" s="159"/>
      <c r="AY714" s="158"/>
      <c r="AZ714" s="158"/>
      <c r="BA714" s="158"/>
      <c r="BB714" s="158"/>
      <c r="BC714" s="158"/>
      <c r="BD714" s="158"/>
      <c r="BE714" s="158"/>
      <c r="BF714" s="158"/>
      <c r="BG714" s="427"/>
      <c r="BH714" s="424"/>
      <c r="BI714" s="424"/>
    </row>
    <row r="715" spans="1:61" x14ac:dyDescent="0.2">
      <c r="K715" s="395"/>
      <c r="L715" s="188"/>
      <c r="R715" s="157"/>
      <c r="S715" s="158"/>
      <c r="T715" s="158"/>
      <c r="U715" s="158"/>
      <c r="V715" s="158"/>
      <c r="W715" s="158"/>
      <c r="X715" s="158"/>
      <c r="Y715" s="158"/>
      <c r="Z715" s="158"/>
      <c r="AA715" s="159"/>
      <c r="AB715" s="159"/>
      <c r="AC715" s="159"/>
      <c r="AD715" s="159"/>
      <c r="AE715" s="159"/>
      <c r="AF715" s="159"/>
      <c r="AG715" s="159"/>
      <c r="AH715" s="159"/>
      <c r="AI715" s="158"/>
      <c r="AJ715" s="158"/>
      <c r="AK715" s="158"/>
      <c r="AL715" s="158"/>
      <c r="AM715" s="158"/>
      <c r="AN715" s="158"/>
      <c r="AO715" s="158"/>
      <c r="AP715" s="158"/>
      <c r="AQ715" s="159"/>
      <c r="AR715" s="159"/>
      <c r="AS715" s="159"/>
      <c r="AT715" s="159"/>
      <c r="AU715" s="159"/>
      <c r="AV715" s="159"/>
      <c r="AW715" s="159"/>
      <c r="AX715" s="159"/>
      <c r="AY715" s="158"/>
      <c r="AZ715" s="158"/>
      <c r="BA715" s="158"/>
      <c r="BB715" s="158"/>
      <c r="BC715" s="158"/>
      <c r="BD715" s="158"/>
      <c r="BE715" s="158"/>
      <c r="BF715" s="158"/>
      <c r="BG715" s="427"/>
      <c r="BH715" s="424"/>
      <c r="BI715" s="424"/>
    </row>
    <row r="716" spans="1:61" s="152" customFormat="1" x14ac:dyDescent="0.2">
      <c r="A716" s="387"/>
      <c r="B716" s="395"/>
      <c r="C716" s="396"/>
      <c r="D716" s="395"/>
      <c r="E716" s="396"/>
      <c r="F716" s="395"/>
      <c r="G716" s="395"/>
      <c r="H716" s="396"/>
      <c r="I716" s="395"/>
      <c r="J716" s="395"/>
      <c r="K716" s="395"/>
      <c r="L716" s="188"/>
      <c r="M716" s="188"/>
      <c r="N716" s="188"/>
      <c r="O716" s="188"/>
      <c r="P716" s="188"/>
      <c r="Q716" s="146"/>
      <c r="R716" s="157"/>
      <c r="S716" s="158"/>
      <c r="T716" s="158"/>
      <c r="U716" s="158"/>
      <c r="V716" s="158"/>
      <c r="W716" s="158"/>
      <c r="X716" s="158"/>
      <c r="Y716" s="158"/>
      <c r="Z716" s="158"/>
      <c r="AA716" s="159"/>
      <c r="AB716" s="159"/>
      <c r="AC716" s="159"/>
      <c r="AD716" s="159"/>
      <c r="AE716" s="159"/>
      <c r="AF716" s="159"/>
      <c r="AG716" s="159"/>
      <c r="AH716" s="159"/>
      <c r="AI716" s="158"/>
      <c r="AJ716" s="158"/>
      <c r="AK716" s="158"/>
      <c r="AL716" s="158"/>
      <c r="AM716" s="158"/>
      <c r="AN716" s="158"/>
      <c r="AO716" s="158"/>
      <c r="AP716" s="158"/>
      <c r="AQ716" s="159"/>
      <c r="AR716" s="159"/>
      <c r="AS716" s="159"/>
      <c r="AT716" s="159"/>
      <c r="AU716" s="159"/>
      <c r="AV716" s="159"/>
      <c r="AW716" s="159"/>
      <c r="AX716" s="159"/>
      <c r="AY716" s="158"/>
      <c r="AZ716" s="158"/>
      <c r="BA716" s="158"/>
      <c r="BB716" s="158"/>
      <c r="BC716" s="158"/>
      <c r="BD716" s="158"/>
      <c r="BE716" s="158"/>
      <c r="BF716" s="158"/>
      <c r="BG716" s="427"/>
      <c r="BH716" s="424"/>
      <c r="BI716" s="424"/>
    </row>
    <row r="717" spans="1:61" x14ac:dyDescent="0.2">
      <c r="K717" s="395"/>
      <c r="L717" s="188"/>
      <c r="R717" s="157"/>
      <c r="S717" s="158"/>
      <c r="T717" s="158"/>
      <c r="U717" s="158"/>
      <c r="V717" s="158"/>
      <c r="W717" s="158"/>
      <c r="X717" s="158"/>
      <c r="Y717" s="158"/>
      <c r="Z717" s="158"/>
      <c r="AA717" s="159"/>
      <c r="AB717" s="159"/>
      <c r="AC717" s="159"/>
      <c r="AD717" s="159"/>
      <c r="AE717" s="159"/>
      <c r="AF717" s="159"/>
      <c r="AG717" s="159"/>
      <c r="AH717" s="159"/>
      <c r="AI717" s="158"/>
      <c r="AJ717" s="158"/>
      <c r="AK717" s="158"/>
      <c r="AL717" s="158"/>
      <c r="AM717" s="158"/>
      <c r="AN717" s="158"/>
      <c r="AO717" s="158"/>
      <c r="AP717" s="158"/>
      <c r="AQ717" s="159"/>
      <c r="AR717" s="159"/>
      <c r="AS717" s="159"/>
      <c r="AT717" s="159"/>
      <c r="AU717" s="159"/>
      <c r="AV717" s="159"/>
      <c r="AW717" s="159"/>
      <c r="AX717" s="159"/>
      <c r="AY717" s="158"/>
      <c r="AZ717" s="158"/>
      <c r="BA717" s="158"/>
      <c r="BB717" s="158"/>
      <c r="BC717" s="158"/>
      <c r="BD717" s="158"/>
      <c r="BE717" s="158"/>
      <c r="BF717" s="158"/>
      <c r="BG717" s="427"/>
      <c r="BH717" s="424"/>
      <c r="BI717" s="424"/>
    </row>
    <row r="718" spans="1:61" x14ac:dyDescent="0.2">
      <c r="K718" s="395"/>
      <c r="L718" s="188"/>
      <c r="R718" s="157"/>
      <c r="S718" s="158"/>
      <c r="T718" s="158"/>
      <c r="U718" s="158"/>
      <c r="V718" s="158"/>
      <c r="W718" s="158"/>
      <c r="X718" s="158"/>
      <c r="Y718" s="158"/>
      <c r="Z718" s="158"/>
      <c r="AA718" s="159"/>
      <c r="AB718" s="159"/>
      <c r="AC718" s="159"/>
      <c r="AD718" s="159"/>
      <c r="AE718" s="159"/>
      <c r="AF718" s="159"/>
      <c r="AG718" s="159"/>
      <c r="AH718" s="159"/>
      <c r="AI718" s="158"/>
      <c r="AJ718" s="158"/>
      <c r="AK718" s="158"/>
      <c r="AL718" s="158"/>
      <c r="AM718" s="158"/>
      <c r="AN718" s="158"/>
      <c r="AO718" s="158"/>
      <c r="AP718" s="158"/>
      <c r="AQ718" s="159"/>
      <c r="AR718" s="159"/>
      <c r="AS718" s="159"/>
      <c r="AT718" s="159"/>
      <c r="AU718" s="159"/>
      <c r="AV718" s="159"/>
      <c r="AW718" s="159"/>
      <c r="AX718" s="159"/>
      <c r="AY718" s="158"/>
      <c r="AZ718" s="158"/>
      <c r="BA718" s="158"/>
      <c r="BB718" s="158"/>
      <c r="BC718" s="158"/>
      <c r="BD718" s="158"/>
      <c r="BE718" s="158"/>
      <c r="BF718" s="158"/>
      <c r="BG718" s="427"/>
      <c r="BH718" s="424"/>
      <c r="BI718" s="424"/>
    </row>
    <row r="719" spans="1:61" x14ac:dyDescent="0.2">
      <c r="K719" s="395"/>
      <c r="L719" s="188"/>
      <c r="R719" s="157"/>
      <c r="S719" s="158"/>
      <c r="T719" s="158"/>
      <c r="U719" s="158"/>
      <c r="V719" s="158"/>
      <c r="W719" s="158"/>
      <c r="X719" s="158"/>
      <c r="Y719" s="158"/>
      <c r="Z719" s="158"/>
      <c r="AA719" s="159"/>
      <c r="AB719" s="159"/>
      <c r="AC719" s="159"/>
      <c r="AD719" s="159"/>
      <c r="AE719" s="159"/>
      <c r="AF719" s="159"/>
      <c r="AG719" s="159"/>
      <c r="AH719" s="159"/>
      <c r="AI719" s="158"/>
      <c r="AJ719" s="158"/>
      <c r="AK719" s="158"/>
      <c r="AL719" s="158"/>
      <c r="AM719" s="158"/>
      <c r="AN719" s="158"/>
      <c r="AO719" s="158"/>
      <c r="AP719" s="158"/>
      <c r="AQ719" s="159"/>
      <c r="AR719" s="159"/>
      <c r="AS719" s="159"/>
      <c r="AT719" s="159"/>
      <c r="AU719" s="159"/>
      <c r="AV719" s="159"/>
      <c r="AW719" s="159"/>
      <c r="AX719" s="159"/>
      <c r="AY719" s="158"/>
      <c r="AZ719" s="158"/>
      <c r="BA719" s="158"/>
      <c r="BB719" s="158"/>
      <c r="BC719" s="158"/>
      <c r="BD719" s="158"/>
      <c r="BE719" s="158"/>
      <c r="BF719" s="158"/>
      <c r="BG719" s="427"/>
      <c r="BH719" s="424"/>
      <c r="BI719" s="424"/>
    </row>
    <row r="720" spans="1:61" x14ac:dyDescent="0.2">
      <c r="K720" s="395"/>
      <c r="L720" s="188"/>
      <c r="R720" s="157"/>
      <c r="S720" s="158"/>
      <c r="T720" s="158"/>
      <c r="U720" s="158"/>
      <c r="V720" s="158"/>
      <c r="W720" s="158"/>
      <c r="X720" s="158"/>
      <c r="Y720" s="158"/>
      <c r="Z720" s="158"/>
      <c r="AA720" s="159"/>
      <c r="AB720" s="159"/>
      <c r="AC720" s="159"/>
      <c r="AD720" s="159"/>
      <c r="AE720" s="159"/>
      <c r="AF720" s="159"/>
      <c r="AG720" s="159"/>
      <c r="AH720" s="159"/>
      <c r="AI720" s="158"/>
      <c r="AJ720" s="158"/>
      <c r="AK720" s="158"/>
      <c r="AL720" s="158"/>
      <c r="AM720" s="158"/>
      <c r="AN720" s="158"/>
      <c r="AO720" s="158"/>
      <c r="AP720" s="158"/>
      <c r="AQ720" s="159"/>
      <c r="AR720" s="159"/>
      <c r="AS720" s="159"/>
      <c r="AT720" s="159"/>
      <c r="AU720" s="159"/>
      <c r="AV720" s="159"/>
      <c r="AW720" s="159"/>
      <c r="AX720" s="159"/>
      <c r="AY720" s="158"/>
      <c r="AZ720" s="158"/>
      <c r="BA720" s="158"/>
      <c r="BB720" s="158"/>
      <c r="BC720" s="158"/>
      <c r="BD720" s="158"/>
      <c r="BE720" s="158"/>
      <c r="BF720" s="158"/>
      <c r="BG720" s="427"/>
      <c r="BH720" s="424"/>
      <c r="BI720" s="424"/>
    </row>
    <row r="721" spans="1:61" x14ac:dyDescent="0.2">
      <c r="K721" s="395"/>
      <c r="L721" s="188"/>
      <c r="R721" s="157"/>
      <c r="S721" s="158"/>
      <c r="T721" s="158"/>
      <c r="U721" s="158"/>
      <c r="V721" s="158"/>
      <c r="W721" s="158"/>
      <c r="X721" s="158"/>
      <c r="Y721" s="158"/>
      <c r="Z721" s="158"/>
      <c r="AA721" s="159"/>
      <c r="AB721" s="159"/>
      <c r="AC721" s="159"/>
      <c r="AD721" s="159"/>
      <c r="AE721" s="159"/>
      <c r="AF721" s="159"/>
      <c r="AG721" s="159"/>
      <c r="AH721" s="159"/>
      <c r="AI721" s="158"/>
      <c r="AJ721" s="158"/>
      <c r="AK721" s="158"/>
      <c r="AL721" s="158"/>
      <c r="AM721" s="158"/>
      <c r="AN721" s="158"/>
      <c r="AO721" s="158"/>
      <c r="AP721" s="158"/>
      <c r="AQ721" s="159"/>
      <c r="AR721" s="159"/>
      <c r="AS721" s="159"/>
      <c r="AT721" s="159"/>
      <c r="AU721" s="159"/>
      <c r="AV721" s="159"/>
      <c r="AW721" s="159"/>
      <c r="AX721" s="159"/>
      <c r="AY721" s="158"/>
      <c r="AZ721" s="158"/>
      <c r="BA721" s="158"/>
      <c r="BB721" s="158"/>
      <c r="BC721" s="158"/>
      <c r="BD721" s="158"/>
      <c r="BE721" s="158"/>
      <c r="BF721" s="158"/>
      <c r="BG721" s="427"/>
      <c r="BH721" s="424"/>
      <c r="BI721" s="424"/>
    </row>
    <row r="722" spans="1:61" x14ac:dyDescent="0.2">
      <c r="K722" s="395"/>
      <c r="L722" s="188"/>
      <c r="R722" s="157"/>
      <c r="S722" s="158"/>
      <c r="T722" s="158"/>
      <c r="U722" s="158"/>
      <c r="V722" s="158"/>
      <c r="W722" s="158"/>
      <c r="X722" s="158"/>
      <c r="Y722" s="158"/>
      <c r="Z722" s="158"/>
      <c r="AA722" s="159"/>
      <c r="AB722" s="159"/>
      <c r="AC722" s="159"/>
      <c r="AD722" s="159"/>
      <c r="AE722" s="159"/>
      <c r="AF722" s="159"/>
      <c r="AG722" s="159"/>
      <c r="AH722" s="159"/>
      <c r="AI722" s="158"/>
      <c r="AJ722" s="158"/>
      <c r="AK722" s="158"/>
      <c r="AL722" s="158"/>
      <c r="AM722" s="158"/>
      <c r="AN722" s="158"/>
      <c r="AO722" s="158"/>
      <c r="AP722" s="158"/>
      <c r="AQ722" s="159"/>
      <c r="AR722" s="159"/>
      <c r="AS722" s="159"/>
      <c r="AT722" s="159"/>
      <c r="AU722" s="159"/>
      <c r="AV722" s="159"/>
      <c r="AW722" s="159"/>
      <c r="AX722" s="159"/>
      <c r="AY722" s="158"/>
      <c r="AZ722" s="158"/>
      <c r="BA722" s="158"/>
      <c r="BB722" s="158"/>
      <c r="BC722" s="158"/>
      <c r="BD722" s="158"/>
      <c r="BE722" s="158"/>
      <c r="BF722" s="158"/>
      <c r="BG722" s="427"/>
      <c r="BH722" s="424"/>
      <c r="BI722" s="424"/>
    </row>
    <row r="723" spans="1:61" x14ac:dyDescent="0.2">
      <c r="K723" s="395"/>
      <c r="L723" s="188"/>
      <c r="R723" s="157"/>
      <c r="S723" s="158"/>
      <c r="T723" s="158"/>
      <c r="U723" s="158"/>
      <c r="V723" s="158"/>
      <c r="W723" s="158"/>
      <c r="X723" s="158"/>
      <c r="Y723" s="158"/>
      <c r="Z723" s="158"/>
      <c r="AA723" s="159"/>
      <c r="AB723" s="159"/>
      <c r="AC723" s="159"/>
      <c r="AD723" s="159"/>
      <c r="AE723" s="159"/>
      <c r="AF723" s="159"/>
      <c r="AG723" s="159"/>
      <c r="AH723" s="159"/>
      <c r="AI723" s="158"/>
      <c r="AJ723" s="158"/>
      <c r="AK723" s="158"/>
      <c r="AL723" s="158"/>
      <c r="AM723" s="158"/>
      <c r="AN723" s="158"/>
      <c r="AO723" s="158"/>
      <c r="AP723" s="158"/>
      <c r="AQ723" s="159"/>
      <c r="AR723" s="159"/>
      <c r="AS723" s="159"/>
      <c r="AT723" s="159"/>
      <c r="AU723" s="159"/>
      <c r="AV723" s="159"/>
      <c r="AW723" s="159"/>
      <c r="AX723" s="159"/>
      <c r="AY723" s="158"/>
      <c r="AZ723" s="158"/>
      <c r="BA723" s="158"/>
      <c r="BB723" s="158"/>
      <c r="BC723" s="158"/>
      <c r="BD723" s="158"/>
      <c r="BE723" s="158"/>
      <c r="BF723" s="158"/>
      <c r="BG723" s="427"/>
      <c r="BH723" s="424"/>
      <c r="BI723" s="424"/>
    </row>
    <row r="724" spans="1:61" x14ac:dyDescent="0.2">
      <c r="K724" s="395"/>
      <c r="L724" s="188"/>
      <c r="R724" s="157"/>
      <c r="S724" s="158"/>
      <c r="T724" s="158"/>
      <c r="U724" s="158"/>
      <c r="V724" s="158"/>
      <c r="W724" s="158"/>
      <c r="X724" s="158"/>
      <c r="Y724" s="158"/>
      <c r="Z724" s="158"/>
      <c r="AA724" s="159"/>
      <c r="AB724" s="159"/>
      <c r="AC724" s="159"/>
      <c r="AD724" s="159"/>
      <c r="AE724" s="159"/>
      <c r="AF724" s="159"/>
      <c r="AG724" s="159"/>
      <c r="AH724" s="159"/>
      <c r="AI724" s="158"/>
      <c r="AJ724" s="158"/>
      <c r="AK724" s="158"/>
      <c r="AL724" s="158"/>
      <c r="AM724" s="158"/>
      <c r="AN724" s="158"/>
      <c r="AO724" s="158"/>
      <c r="AP724" s="158"/>
      <c r="AQ724" s="159"/>
      <c r="AR724" s="159"/>
      <c r="AS724" s="159"/>
      <c r="AT724" s="159"/>
      <c r="AU724" s="159"/>
      <c r="AV724" s="159"/>
      <c r="AW724" s="159"/>
      <c r="AX724" s="159"/>
      <c r="AY724" s="158"/>
      <c r="AZ724" s="158"/>
      <c r="BA724" s="158"/>
      <c r="BB724" s="158"/>
      <c r="BC724" s="158"/>
      <c r="BD724" s="158"/>
      <c r="BE724" s="158"/>
      <c r="BF724" s="158"/>
      <c r="BG724" s="427"/>
      <c r="BH724" s="424"/>
      <c r="BI724" s="424"/>
    </row>
    <row r="725" spans="1:61" x14ac:dyDescent="0.2">
      <c r="K725" s="395"/>
      <c r="L725" s="188"/>
      <c r="R725" s="157"/>
      <c r="S725" s="158"/>
      <c r="T725" s="158"/>
      <c r="U725" s="158"/>
      <c r="V725" s="158"/>
      <c r="W725" s="158"/>
      <c r="X725" s="158"/>
      <c r="Y725" s="158"/>
      <c r="Z725" s="158"/>
      <c r="AA725" s="159"/>
      <c r="AB725" s="159"/>
      <c r="AC725" s="159"/>
      <c r="AD725" s="159"/>
      <c r="AE725" s="159"/>
      <c r="AF725" s="159"/>
      <c r="AG725" s="159"/>
      <c r="AH725" s="159"/>
      <c r="AI725" s="158"/>
      <c r="AJ725" s="158"/>
      <c r="AK725" s="158"/>
      <c r="AL725" s="158"/>
      <c r="AM725" s="158"/>
      <c r="AN725" s="158"/>
      <c r="AO725" s="158"/>
      <c r="AP725" s="158"/>
      <c r="AQ725" s="159"/>
      <c r="AR725" s="159"/>
      <c r="AS725" s="159"/>
      <c r="AT725" s="159"/>
      <c r="AU725" s="159"/>
      <c r="AV725" s="159"/>
      <c r="AW725" s="159"/>
      <c r="AX725" s="159"/>
      <c r="AY725" s="158"/>
      <c r="AZ725" s="158"/>
      <c r="BA725" s="158"/>
      <c r="BB725" s="158"/>
      <c r="BC725" s="158"/>
      <c r="BD725" s="158"/>
      <c r="BE725" s="158"/>
      <c r="BF725" s="158"/>
      <c r="BG725" s="427"/>
      <c r="BH725" s="424"/>
      <c r="BI725" s="424"/>
    </row>
    <row r="726" spans="1:61" x14ac:dyDescent="0.2">
      <c r="K726" s="395"/>
      <c r="L726" s="188"/>
      <c r="R726" s="157"/>
      <c r="S726" s="158"/>
      <c r="T726" s="158"/>
      <c r="U726" s="158"/>
      <c r="V726" s="158"/>
      <c r="W726" s="158"/>
      <c r="X726" s="158"/>
      <c r="Y726" s="158"/>
      <c r="Z726" s="158"/>
      <c r="AA726" s="159"/>
      <c r="AB726" s="159"/>
      <c r="AC726" s="159"/>
      <c r="AD726" s="159"/>
      <c r="AE726" s="159"/>
      <c r="AF726" s="159"/>
      <c r="AG726" s="159"/>
      <c r="AH726" s="159"/>
      <c r="AI726" s="158"/>
      <c r="AJ726" s="158"/>
      <c r="AK726" s="158"/>
      <c r="AL726" s="158"/>
      <c r="AM726" s="158"/>
      <c r="AN726" s="158"/>
      <c r="AO726" s="158"/>
      <c r="AP726" s="158"/>
      <c r="AQ726" s="159"/>
      <c r="AR726" s="159"/>
      <c r="AS726" s="159"/>
      <c r="AT726" s="159"/>
      <c r="AU726" s="159"/>
      <c r="AV726" s="159"/>
      <c r="AW726" s="159"/>
      <c r="AX726" s="159"/>
      <c r="AY726" s="158"/>
      <c r="AZ726" s="158"/>
      <c r="BA726" s="158"/>
      <c r="BB726" s="158"/>
      <c r="BC726" s="158"/>
      <c r="BD726" s="158"/>
      <c r="BE726" s="158"/>
      <c r="BF726" s="158"/>
      <c r="BG726" s="427"/>
      <c r="BH726" s="424"/>
      <c r="BI726" s="424"/>
    </row>
    <row r="727" spans="1:61" x14ac:dyDescent="0.2">
      <c r="K727" s="395"/>
      <c r="L727" s="188"/>
      <c r="R727" s="157"/>
      <c r="S727" s="158"/>
      <c r="T727" s="158"/>
      <c r="U727" s="158"/>
      <c r="V727" s="158"/>
      <c r="W727" s="158"/>
      <c r="X727" s="158"/>
      <c r="Y727" s="158"/>
      <c r="Z727" s="158"/>
      <c r="AA727" s="159"/>
      <c r="AB727" s="159"/>
      <c r="AC727" s="159"/>
      <c r="AD727" s="159"/>
      <c r="AE727" s="159"/>
      <c r="AF727" s="159"/>
      <c r="AG727" s="159"/>
      <c r="AH727" s="159"/>
      <c r="AI727" s="158"/>
      <c r="AJ727" s="158"/>
      <c r="AK727" s="158"/>
      <c r="AL727" s="158"/>
      <c r="AM727" s="158"/>
      <c r="AN727" s="158"/>
      <c r="AO727" s="158"/>
      <c r="AP727" s="158"/>
      <c r="AQ727" s="159"/>
      <c r="AR727" s="159"/>
      <c r="AS727" s="159"/>
      <c r="AT727" s="159"/>
      <c r="AU727" s="159"/>
      <c r="AV727" s="159"/>
      <c r="AW727" s="159"/>
      <c r="AX727" s="159"/>
      <c r="AY727" s="158"/>
      <c r="AZ727" s="158"/>
      <c r="BA727" s="158"/>
      <c r="BB727" s="158"/>
      <c r="BC727" s="158"/>
      <c r="BD727" s="158"/>
      <c r="BE727" s="158"/>
      <c r="BF727" s="158"/>
      <c r="BG727" s="427"/>
      <c r="BH727" s="424"/>
      <c r="BI727" s="424"/>
    </row>
    <row r="728" spans="1:61" x14ac:dyDescent="0.2">
      <c r="K728" s="395"/>
      <c r="L728" s="188"/>
      <c r="R728" s="157"/>
      <c r="S728" s="158"/>
      <c r="T728" s="158"/>
      <c r="U728" s="158"/>
      <c r="V728" s="158"/>
      <c r="W728" s="158"/>
      <c r="X728" s="158"/>
      <c r="Y728" s="158"/>
      <c r="Z728" s="158"/>
      <c r="AA728" s="159"/>
      <c r="AB728" s="159"/>
      <c r="AC728" s="159"/>
      <c r="AD728" s="159"/>
      <c r="AE728" s="159"/>
      <c r="AF728" s="159"/>
      <c r="AG728" s="159"/>
      <c r="AH728" s="159"/>
      <c r="AI728" s="158"/>
      <c r="AJ728" s="158"/>
      <c r="AK728" s="158"/>
      <c r="AL728" s="158"/>
      <c r="AM728" s="158"/>
      <c r="AN728" s="158"/>
      <c r="AO728" s="158"/>
      <c r="AP728" s="158"/>
      <c r="AQ728" s="159"/>
      <c r="AR728" s="159"/>
      <c r="AS728" s="159"/>
      <c r="AT728" s="159"/>
      <c r="AU728" s="159"/>
      <c r="AV728" s="159"/>
      <c r="AW728" s="159"/>
      <c r="AX728" s="159"/>
      <c r="AY728" s="158"/>
      <c r="AZ728" s="158"/>
      <c r="BA728" s="158"/>
      <c r="BB728" s="158"/>
      <c r="BC728" s="158"/>
      <c r="BD728" s="158"/>
      <c r="BE728" s="158"/>
      <c r="BF728" s="158"/>
      <c r="BG728" s="427"/>
      <c r="BH728" s="424"/>
      <c r="BI728" s="424"/>
    </row>
    <row r="729" spans="1:61" x14ac:dyDescent="0.2">
      <c r="K729" s="395"/>
      <c r="L729" s="188"/>
      <c r="R729" s="157"/>
      <c r="S729" s="158"/>
      <c r="T729" s="158"/>
      <c r="U729" s="158"/>
      <c r="V729" s="158"/>
      <c r="W729" s="158"/>
      <c r="X729" s="158"/>
      <c r="Y729" s="158"/>
      <c r="Z729" s="158"/>
      <c r="AA729" s="159"/>
      <c r="AB729" s="159"/>
      <c r="AC729" s="159"/>
      <c r="AD729" s="159"/>
      <c r="AE729" s="159"/>
      <c r="AF729" s="159"/>
      <c r="AG729" s="159"/>
      <c r="AH729" s="159"/>
      <c r="AI729" s="158"/>
      <c r="AJ729" s="158"/>
      <c r="AK729" s="158"/>
      <c r="AL729" s="158"/>
      <c r="AM729" s="158"/>
      <c r="AN729" s="158"/>
      <c r="AO729" s="158"/>
      <c r="AP729" s="158"/>
      <c r="AQ729" s="159"/>
      <c r="AR729" s="159"/>
      <c r="AS729" s="159"/>
      <c r="AT729" s="159"/>
      <c r="AU729" s="159"/>
      <c r="AV729" s="159"/>
      <c r="AW729" s="159"/>
      <c r="AX729" s="159"/>
      <c r="AY729" s="158"/>
      <c r="AZ729" s="158"/>
      <c r="BA729" s="158"/>
      <c r="BB729" s="158"/>
      <c r="BC729" s="158"/>
      <c r="BD729" s="158"/>
      <c r="BE729" s="158"/>
      <c r="BF729" s="158"/>
      <c r="BG729" s="427"/>
      <c r="BH729" s="424"/>
      <c r="BI729" s="424"/>
    </row>
    <row r="730" spans="1:61" x14ac:dyDescent="0.2">
      <c r="K730" s="395"/>
      <c r="L730" s="188"/>
      <c r="R730" s="157"/>
      <c r="S730" s="158"/>
      <c r="T730" s="158"/>
      <c r="U730" s="158"/>
      <c r="V730" s="158"/>
      <c r="W730" s="158"/>
      <c r="X730" s="158"/>
      <c r="Y730" s="158"/>
      <c r="Z730" s="158"/>
      <c r="AA730" s="159"/>
      <c r="AB730" s="159"/>
      <c r="AC730" s="159"/>
      <c r="AD730" s="159"/>
      <c r="AE730" s="159"/>
      <c r="AF730" s="159"/>
      <c r="AG730" s="159"/>
      <c r="AH730" s="159"/>
      <c r="AI730" s="158"/>
      <c r="AJ730" s="158"/>
      <c r="AK730" s="158"/>
      <c r="AL730" s="158"/>
      <c r="AM730" s="158"/>
      <c r="AN730" s="158"/>
      <c r="AO730" s="158"/>
      <c r="AP730" s="158"/>
      <c r="AQ730" s="159"/>
      <c r="AR730" s="159"/>
      <c r="AS730" s="159"/>
      <c r="AT730" s="159"/>
      <c r="AU730" s="159"/>
      <c r="AV730" s="159"/>
      <c r="AW730" s="159"/>
      <c r="AX730" s="159"/>
      <c r="AY730" s="158"/>
      <c r="AZ730" s="158"/>
      <c r="BA730" s="158"/>
      <c r="BB730" s="158"/>
      <c r="BC730" s="158"/>
      <c r="BD730" s="158"/>
      <c r="BE730" s="158"/>
      <c r="BF730" s="158"/>
      <c r="BG730" s="427"/>
      <c r="BH730" s="424"/>
      <c r="BI730" s="424"/>
    </row>
    <row r="731" spans="1:61" x14ac:dyDescent="0.2">
      <c r="K731" s="395"/>
      <c r="L731" s="188"/>
      <c r="R731" s="157"/>
      <c r="S731" s="158"/>
      <c r="T731" s="158"/>
      <c r="U731" s="158"/>
      <c r="V731" s="158"/>
      <c r="W731" s="158"/>
      <c r="X731" s="158"/>
      <c r="Y731" s="158"/>
      <c r="Z731" s="158"/>
      <c r="AA731" s="159"/>
      <c r="AB731" s="159"/>
      <c r="AC731" s="159"/>
      <c r="AD731" s="159"/>
      <c r="AE731" s="159"/>
      <c r="AF731" s="159"/>
      <c r="AG731" s="159"/>
      <c r="AH731" s="159"/>
      <c r="AI731" s="158"/>
      <c r="AJ731" s="158"/>
      <c r="AK731" s="158"/>
      <c r="AL731" s="158"/>
      <c r="AM731" s="158"/>
      <c r="AN731" s="158"/>
      <c r="AO731" s="158"/>
      <c r="AP731" s="158"/>
      <c r="AQ731" s="159"/>
      <c r="AR731" s="159"/>
      <c r="AS731" s="159"/>
      <c r="AT731" s="159"/>
      <c r="AU731" s="159"/>
      <c r="AV731" s="159"/>
      <c r="AW731" s="159"/>
      <c r="AX731" s="159"/>
      <c r="AY731" s="158"/>
      <c r="AZ731" s="158"/>
      <c r="BA731" s="158"/>
      <c r="BB731" s="158"/>
      <c r="BC731" s="158"/>
      <c r="BD731" s="158"/>
      <c r="BE731" s="158"/>
      <c r="BF731" s="158"/>
      <c r="BG731" s="427"/>
      <c r="BH731" s="424"/>
      <c r="BI731" s="424"/>
    </row>
    <row r="732" spans="1:61" x14ac:dyDescent="0.2">
      <c r="K732" s="395"/>
      <c r="L732" s="188"/>
      <c r="R732" s="157"/>
      <c r="S732" s="158"/>
      <c r="T732" s="158"/>
      <c r="U732" s="158"/>
      <c r="V732" s="158"/>
      <c r="W732" s="158"/>
      <c r="X732" s="158"/>
      <c r="Y732" s="158"/>
      <c r="Z732" s="158"/>
      <c r="AA732" s="159"/>
      <c r="AB732" s="159"/>
      <c r="AC732" s="159"/>
      <c r="AD732" s="159"/>
      <c r="AE732" s="159"/>
      <c r="AF732" s="159"/>
      <c r="AG732" s="159"/>
      <c r="AH732" s="159"/>
      <c r="AI732" s="158"/>
      <c r="AJ732" s="158"/>
      <c r="AK732" s="158"/>
      <c r="AL732" s="158"/>
      <c r="AM732" s="158"/>
      <c r="AN732" s="158"/>
      <c r="AO732" s="158"/>
      <c r="AP732" s="158"/>
      <c r="AQ732" s="159"/>
      <c r="AR732" s="159"/>
      <c r="AS732" s="159"/>
      <c r="AT732" s="159"/>
      <c r="AU732" s="159"/>
      <c r="AV732" s="159"/>
      <c r="AW732" s="159"/>
      <c r="AX732" s="159"/>
      <c r="AY732" s="158"/>
      <c r="AZ732" s="158"/>
      <c r="BA732" s="158"/>
      <c r="BB732" s="158"/>
      <c r="BC732" s="158"/>
      <c r="BD732" s="158"/>
      <c r="BE732" s="158"/>
      <c r="BF732" s="158"/>
      <c r="BG732" s="427"/>
      <c r="BH732" s="424"/>
      <c r="BI732" s="424"/>
    </row>
    <row r="733" spans="1:61" s="152" customFormat="1" x14ac:dyDescent="0.2">
      <c r="A733" s="387"/>
      <c r="B733" s="395"/>
      <c r="C733" s="396"/>
      <c r="D733" s="395"/>
      <c r="E733" s="396"/>
      <c r="F733" s="395"/>
      <c r="G733" s="395"/>
      <c r="H733" s="396"/>
      <c r="I733" s="395"/>
      <c r="J733" s="395"/>
      <c r="K733" s="395"/>
      <c r="L733" s="188"/>
      <c r="M733" s="188"/>
      <c r="N733" s="188"/>
      <c r="O733" s="188"/>
      <c r="P733" s="188"/>
      <c r="Q733" s="146"/>
      <c r="R733" s="157"/>
      <c r="S733" s="158"/>
      <c r="T733" s="158"/>
      <c r="U733" s="158"/>
      <c r="V733" s="158"/>
      <c r="W733" s="158"/>
      <c r="X733" s="158"/>
      <c r="Y733" s="158"/>
      <c r="Z733" s="158"/>
      <c r="AA733" s="159"/>
      <c r="AB733" s="159"/>
      <c r="AC733" s="159"/>
      <c r="AD733" s="159"/>
      <c r="AE733" s="159"/>
      <c r="AF733" s="159"/>
      <c r="AG733" s="159"/>
      <c r="AH733" s="159"/>
      <c r="AI733" s="158"/>
      <c r="AJ733" s="158"/>
      <c r="AK733" s="158"/>
      <c r="AL733" s="158"/>
      <c r="AM733" s="158"/>
      <c r="AN733" s="158"/>
      <c r="AO733" s="158"/>
      <c r="AP733" s="158"/>
      <c r="AQ733" s="159"/>
      <c r="AR733" s="159"/>
      <c r="AS733" s="159"/>
      <c r="AT733" s="159"/>
      <c r="AU733" s="159"/>
      <c r="AV733" s="159"/>
      <c r="AW733" s="159"/>
      <c r="AX733" s="159"/>
      <c r="AY733" s="158"/>
      <c r="AZ733" s="158"/>
      <c r="BA733" s="158"/>
      <c r="BB733" s="158"/>
      <c r="BC733" s="158"/>
      <c r="BD733" s="158"/>
      <c r="BE733" s="158"/>
      <c r="BF733" s="158"/>
      <c r="BG733" s="427"/>
      <c r="BH733" s="424"/>
      <c r="BI733" s="424"/>
    </row>
    <row r="734" spans="1:61" x14ac:dyDescent="0.2">
      <c r="K734" s="395"/>
      <c r="L734" s="188"/>
      <c r="R734" s="157"/>
      <c r="S734" s="158"/>
      <c r="T734" s="158"/>
      <c r="U734" s="158"/>
      <c r="V734" s="158"/>
      <c r="W734" s="158"/>
      <c r="X734" s="158"/>
      <c r="Y734" s="158"/>
      <c r="Z734" s="158"/>
      <c r="AA734" s="159"/>
      <c r="AB734" s="159"/>
      <c r="AC734" s="159"/>
      <c r="AD734" s="159"/>
      <c r="AE734" s="159"/>
      <c r="AF734" s="159"/>
      <c r="AG734" s="159"/>
      <c r="AH734" s="159"/>
      <c r="AI734" s="158"/>
      <c r="AJ734" s="158"/>
      <c r="AK734" s="158"/>
      <c r="AL734" s="158"/>
      <c r="AM734" s="158"/>
      <c r="AN734" s="158"/>
      <c r="AO734" s="158"/>
      <c r="AP734" s="158"/>
      <c r="AQ734" s="159"/>
      <c r="AR734" s="159"/>
      <c r="AS734" s="159"/>
      <c r="AT734" s="159"/>
      <c r="AU734" s="159"/>
      <c r="AV734" s="159"/>
      <c r="AW734" s="159"/>
      <c r="AX734" s="159"/>
      <c r="AY734" s="158"/>
      <c r="AZ734" s="158"/>
      <c r="BA734" s="158"/>
      <c r="BB734" s="158"/>
      <c r="BC734" s="158"/>
      <c r="BD734" s="158"/>
      <c r="BE734" s="158"/>
      <c r="BF734" s="158"/>
      <c r="BG734" s="427"/>
      <c r="BH734" s="424"/>
      <c r="BI734" s="424"/>
    </row>
    <row r="735" spans="1:61" x14ac:dyDescent="0.2">
      <c r="K735" s="395"/>
      <c r="L735" s="188"/>
      <c r="R735" s="157"/>
      <c r="S735" s="158"/>
      <c r="T735" s="158"/>
      <c r="U735" s="158"/>
      <c r="V735" s="158"/>
      <c r="W735" s="158"/>
      <c r="X735" s="158"/>
      <c r="Y735" s="158"/>
      <c r="Z735" s="158"/>
      <c r="AA735" s="159"/>
      <c r="AB735" s="159"/>
      <c r="AC735" s="159"/>
      <c r="AD735" s="159"/>
      <c r="AE735" s="159"/>
      <c r="AF735" s="159"/>
      <c r="AG735" s="159"/>
      <c r="AH735" s="159"/>
      <c r="AI735" s="158"/>
      <c r="AJ735" s="158"/>
      <c r="AK735" s="158"/>
      <c r="AL735" s="158"/>
      <c r="AM735" s="158"/>
      <c r="AN735" s="158"/>
      <c r="AO735" s="158"/>
      <c r="AP735" s="158"/>
      <c r="AQ735" s="159"/>
      <c r="AR735" s="159"/>
      <c r="AS735" s="159"/>
      <c r="AT735" s="159"/>
      <c r="AU735" s="159"/>
      <c r="AV735" s="159"/>
      <c r="AW735" s="159"/>
      <c r="AX735" s="159"/>
      <c r="AY735" s="158"/>
      <c r="AZ735" s="158"/>
      <c r="BA735" s="158"/>
      <c r="BB735" s="158"/>
      <c r="BC735" s="158"/>
      <c r="BD735" s="158"/>
      <c r="BE735" s="158"/>
      <c r="BF735" s="158"/>
      <c r="BG735" s="427"/>
      <c r="BH735" s="424"/>
      <c r="BI735" s="424"/>
    </row>
    <row r="736" spans="1:61" x14ac:dyDescent="0.2">
      <c r="K736" s="395"/>
      <c r="L736" s="188"/>
      <c r="R736" s="157"/>
      <c r="S736" s="158"/>
      <c r="T736" s="158"/>
      <c r="U736" s="158"/>
      <c r="V736" s="158"/>
      <c r="W736" s="158"/>
      <c r="X736" s="158"/>
      <c r="Y736" s="158"/>
      <c r="Z736" s="158"/>
      <c r="AA736" s="159"/>
      <c r="AB736" s="159"/>
      <c r="AC736" s="159"/>
      <c r="AD736" s="159"/>
      <c r="AE736" s="159"/>
      <c r="AF736" s="159"/>
      <c r="AG736" s="159"/>
      <c r="AH736" s="159"/>
      <c r="AI736" s="158"/>
      <c r="AJ736" s="158"/>
      <c r="AK736" s="158"/>
      <c r="AL736" s="158"/>
      <c r="AM736" s="158"/>
      <c r="AN736" s="158"/>
      <c r="AO736" s="158"/>
      <c r="AP736" s="158"/>
      <c r="AQ736" s="159"/>
      <c r="AR736" s="159"/>
      <c r="AS736" s="159"/>
      <c r="AT736" s="159"/>
      <c r="AU736" s="159"/>
      <c r="AV736" s="159"/>
      <c r="AW736" s="159"/>
      <c r="AX736" s="159"/>
      <c r="AY736" s="158"/>
      <c r="AZ736" s="158"/>
      <c r="BA736" s="158"/>
      <c r="BB736" s="158"/>
      <c r="BC736" s="158"/>
      <c r="BD736" s="158"/>
      <c r="BE736" s="158"/>
      <c r="BF736" s="158"/>
      <c r="BG736" s="427"/>
      <c r="BH736" s="424"/>
      <c r="BI736" s="424"/>
    </row>
    <row r="737" spans="1:61" x14ac:dyDescent="0.2">
      <c r="K737" s="395"/>
      <c r="L737" s="188"/>
      <c r="R737" s="157"/>
      <c r="S737" s="158"/>
      <c r="T737" s="158"/>
      <c r="U737" s="158"/>
      <c r="V737" s="158"/>
      <c r="W737" s="158"/>
      <c r="X737" s="158"/>
      <c r="Y737" s="158"/>
      <c r="Z737" s="158"/>
      <c r="AA737" s="159"/>
      <c r="AB737" s="159"/>
      <c r="AC737" s="159"/>
      <c r="AD737" s="159"/>
      <c r="AE737" s="159"/>
      <c r="AF737" s="159"/>
      <c r="AG737" s="159"/>
      <c r="AH737" s="159"/>
      <c r="AI737" s="158"/>
      <c r="AJ737" s="158"/>
      <c r="AK737" s="158"/>
      <c r="AL737" s="158"/>
      <c r="AM737" s="158"/>
      <c r="AN737" s="158"/>
      <c r="AO737" s="158"/>
      <c r="AP737" s="158"/>
      <c r="AQ737" s="159"/>
      <c r="AR737" s="159"/>
      <c r="AS737" s="159"/>
      <c r="AT737" s="159"/>
      <c r="AU737" s="159"/>
      <c r="AV737" s="159"/>
      <c r="AW737" s="159"/>
      <c r="AX737" s="159"/>
      <c r="AY737" s="158"/>
      <c r="AZ737" s="158"/>
      <c r="BA737" s="158"/>
      <c r="BB737" s="158"/>
      <c r="BC737" s="158"/>
      <c r="BD737" s="158"/>
      <c r="BE737" s="158"/>
      <c r="BF737" s="158"/>
      <c r="BG737" s="427"/>
      <c r="BH737" s="424"/>
      <c r="BI737" s="424"/>
    </row>
    <row r="738" spans="1:61" x14ac:dyDescent="0.2">
      <c r="K738" s="395"/>
      <c r="L738" s="188"/>
      <c r="R738" s="157"/>
      <c r="S738" s="158"/>
      <c r="T738" s="158"/>
      <c r="U738" s="158"/>
      <c r="V738" s="158"/>
      <c r="W738" s="158"/>
      <c r="X738" s="158"/>
      <c r="Y738" s="158"/>
      <c r="Z738" s="158"/>
      <c r="AA738" s="159"/>
      <c r="AB738" s="159"/>
      <c r="AC738" s="159"/>
      <c r="AD738" s="159"/>
      <c r="AE738" s="159"/>
      <c r="AF738" s="159"/>
      <c r="AG738" s="159"/>
      <c r="AH738" s="159"/>
      <c r="AI738" s="158"/>
      <c r="AJ738" s="158"/>
      <c r="AK738" s="158"/>
      <c r="AL738" s="158"/>
      <c r="AM738" s="158"/>
      <c r="AN738" s="158"/>
      <c r="AO738" s="158"/>
      <c r="AP738" s="158"/>
      <c r="AQ738" s="159"/>
      <c r="AR738" s="159"/>
      <c r="AS738" s="159"/>
      <c r="AT738" s="159"/>
      <c r="AU738" s="159"/>
      <c r="AV738" s="159"/>
      <c r="AW738" s="159"/>
      <c r="AX738" s="159"/>
      <c r="AY738" s="158"/>
      <c r="AZ738" s="158"/>
      <c r="BA738" s="158"/>
      <c r="BB738" s="158"/>
      <c r="BC738" s="158"/>
      <c r="BD738" s="158"/>
      <c r="BE738" s="158"/>
      <c r="BF738" s="158"/>
      <c r="BG738" s="427"/>
      <c r="BH738" s="424"/>
      <c r="BI738" s="424"/>
    </row>
    <row r="739" spans="1:61" s="152" customFormat="1" x14ac:dyDescent="0.2">
      <c r="A739" s="387"/>
      <c r="B739" s="395"/>
      <c r="C739" s="396"/>
      <c r="D739" s="395"/>
      <c r="E739" s="396"/>
      <c r="F739" s="395"/>
      <c r="G739" s="395"/>
      <c r="H739" s="396"/>
      <c r="I739" s="395"/>
      <c r="J739" s="395"/>
      <c r="K739" s="395"/>
      <c r="L739" s="188"/>
      <c r="M739" s="188"/>
      <c r="N739" s="188"/>
      <c r="O739" s="188"/>
      <c r="P739" s="188"/>
      <c r="Q739" s="146"/>
      <c r="R739" s="157"/>
      <c r="S739" s="158"/>
      <c r="T739" s="158"/>
      <c r="U739" s="158"/>
      <c r="V739" s="158"/>
      <c r="W739" s="158"/>
      <c r="X739" s="158"/>
      <c r="Y739" s="158"/>
      <c r="Z739" s="158"/>
      <c r="AA739" s="159"/>
      <c r="AB739" s="159"/>
      <c r="AC739" s="159"/>
      <c r="AD739" s="159"/>
      <c r="AE739" s="159"/>
      <c r="AF739" s="159"/>
      <c r="AG739" s="159"/>
      <c r="AH739" s="159"/>
      <c r="AI739" s="158"/>
      <c r="AJ739" s="158"/>
      <c r="AK739" s="158"/>
      <c r="AL739" s="158"/>
      <c r="AM739" s="158"/>
      <c r="AN739" s="158"/>
      <c r="AO739" s="158"/>
      <c r="AP739" s="158"/>
      <c r="AQ739" s="159"/>
      <c r="AR739" s="159"/>
      <c r="AS739" s="159"/>
      <c r="AT739" s="159"/>
      <c r="AU739" s="159"/>
      <c r="AV739" s="159"/>
      <c r="AW739" s="159"/>
      <c r="AX739" s="159"/>
      <c r="AY739" s="158"/>
      <c r="AZ739" s="158"/>
      <c r="BA739" s="158"/>
      <c r="BB739" s="158"/>
      <c r="BC739" s="158"/>
      <c r="BD739" s="158"/>
      <c r="BE739" s="158"/>
      <c r="BF739" s="158"/>
      <c r="BG739" s="427"/>
      <c r="BH739" s="424"/>
      <c r="BI739" s="424"/>
    </row>
    <row r="740" spans="1:61" x14ac:dyDescent="0.2">
      <c r="K740" s="395"/>
      <c r="L740" s="188"/>
      <c r="R740" s="157"/>
      <c r="S740" s="158"/>
      <c r="T740" s="158"/>
      <c r="U740" s="158"/>
      <c r="V740" s="158"/>
      <c r="W740" s="158"/>
      <c r="X740" s="158"/>
      <c r="Y740" s="158"/>
      <c r="Z740" s="158"/>
      <c r="AA740" s="159"/>
      <c r="AB740" s="159"/>
      <c r="AC740" s="159"/>
      <c r="AD740" s="159"/>
      <c r="AE740" s="159"/>
      <c r="AF740" s="159"/>
      <c r="AG740" s="159"/>
      <c r="AH740" s="159"/>
      <c r="AI740" s="158"/>
      <c r="AJ740" s="158"/>
      <c r="AK740" s="158"/>
      <c r="AL740" s="158"/>
      <c r="AM740" s="158"/>
      <c r="AN740" s="158"/>
      <c r="AO740" s="158"/>
      <c r="AP740" s="158"/>
      <c r="AQ740" s="159"/>
      <c r="AR740" s="159"/>
      <c r="AS740" s="159"/>
      <c r="AT740" s="159"/>
      <c r="AU740" s="159"/>
      <c r="AV740" s="159"/>
      <c r="AW740" s="159"/>
      <c r="AX740" s="159"/>
      <c r="AY740" s="158"/>
      <c r="AZ740" s="158"/>
      <c r="BA740" s="158"/>
      <c r="BB740" s="158"/>
      <c r="BC740" s="158"/>
      <c r="BD740" s="158"/>
      <c r="BE740" s="158"/>
      <c r="BF740" s="158"/>
      <c r="BG740" s="427"/>
      <c r="BH740" s="424"/>
      <c r="BI740" s="424"/>
    </row>
    <row r="741" spans="1:61" x14ac:dyDescent="0.2">
      <c r="K741" s="395"/>
      <c r="L741" s="188"/>
      <c r="M741" s="397"/>
      <c r="R741" s="157"/>
      <c r="S741" s="158"/>
      <c r="T741" s="158"/>
      <c r="U741" s="158"/>
      <c r="V741" s="158"/>
      <c r="W741" s="158"/>
      <c r="X741" s="158"/>
      <c r="Y741" s="158"/>
      <c r="Z741" s="158"/>
      <c r="AA741" s="159"/>
      <c r="AB741" s="159"/>
      <c r="AC741" s="159"/>
      <c r="AD741" s="159"/>
      <c r="AE741" s="159"/>
      <c r="AF741" s="159"/>
      <c r="AG741" s="159"/>
      <c r="AH741" s="159"/>
      <c r="AI741" s="158"/>
      <c r="AJ741" s="158"/>
      <c r="AK741" s="158"/>
      <c r="AL741" s="158"/>
      <c r="AM741" s="158"/>
      <c r="AN741" s="158"/>
      <c r="AO741" s="158"/>
      <c r="AP741" s="158"/>
      <c r="AQ741" s="159"/>
      <c r="AR741" s="159"/>
      <c r="AS741" s="159"/>
      <c r="AT741" s="159"/>
      <c r="AU741" s="159"/>
      <c r="AV741" s="159"/>
      <c r="AW741" s="159"/>
      <c r="AX741" s="159"/>
      <c r="AY741" s="158"/>
      <c r="AZ741" s="158"/>
      <c r="BA741" s="158"/>
      <c r="BB741" s="158"/>
      <c r="BC741" s="158"/>
      <c r="BD741" s="158"/>
      <c r="BE741" s="158"/>
      <c r="BF741" s="158"/>
      <c r="BG741" s="427"/>
      <c r="BH741" s="424"/>
      <c r="BI741" s="424"/>
    </row>
    <row r="742" spans="1:61" x14ac:dyDescent="0.2">
      <c r="K742" s="395"/>
      <c r="L742" s="188"/>
      <c r="R742" s="157"/>
      <c r="S742" s="158"/>
      <c r="T742" s="158"/>
      <c r="U742" s="158"/>
      <c r="V742" s="158"/>
      <c r="W742" s="158"/>
      <c r="X742" s="158"/>
      <c r="Y742" s="158"/>
      <c r="Z742" s="158"/>
      <c r="AA742" s="159"/>
      <c r="AB742" s="159"/>
      <c r="AC742" s="159"/>
      <c r="AD742" s="159"/>
      <c r="AE742" s="159"/>
      <c r="AF742" s="159"/>
      <c r="AG742" s="159"/>
      <c r="AH742" s="159"/>
      <c r="AI742" s="158"/>
      <c r="AJ742" s="158"/>
      <c r="AK742" s="158"/>
      <c r="AL742" s="158"/>
      <c r="AM742" s="158"/>
      <c r="AN742" s="158"/>
      <c r="AO742" s="158"/>
      <c r="AP742" s="158"/>
      <c r="AQ742" s="159"/>
      <c r="AR742" s="159"/>
      <c r="AS742" s="159"/>
      <c r="AT742" s="159"/>
      <c r="AU742" s="159"/>
      <c r="AV742" s="159"/>
      <c r="AW742" s="159"/>
      <c r="AX742" s="159"/>
      <c r="AY742" s="158"/>
      <c r="AZ742" s="158"/>
      <c r="BA742" s="158"/>
      <c r="BB742" s="158"/>
      <c r="BC742" s="158"/>
      <c r="BD742" s="158"/>
      <c r="BE742" s="158"/>
      <c r="BF742" s="158"/>
      <c r="BG742" s="427"/>
      <c r="BH742" s="424"/>
      <c r="BI742" s="424"/>
    </row>
    <row r="743" spans="1:61" x14ac:dyDescent="0.2">
      <c r="K743" s="395"/>
      <c r="L743" s="188"/>
      <c r="R743" s="157"/>
      <c r="S743" s="158"/>
      <c r="T743" s="158"/>
      <c r="U743" s="158"/>
      <c r="V743" s="158"/>
      <c r="W743" s="158"/>
      <c r="X743" s="158"/>
      <c r="Y743" s="158"/>
      <c r="Z743" s="158"/>
      <c r="AA743" s="159"/>
      <c r="AB743" s="159"/>
      <c r="AC743" s="159"/>
      <c r="AD743" s="159"/>
      <c r="AE743" s="159"/>
      <c r="AF743" s="159"/>
      <c r="AG743" s="159"/>
      <c r="AH743" s="159"/>
      <c r="AI743" s="158"/>
      <c r="AJ743" s="158"/>
      <c r="AK743" s="158"/>
      <c r="AL743" s="158"/>
      <c r="AM743" s="158"/>
      <c r="AN743" s="158"/>
      <c r="AO743" s="158"/>
      <c r="AP743" s="158"/>
      <c r="AQ743" s="159"/>
      <c r="AR743" s="159"/>
      <c r="AS743" s="159"/>
      <c r="AT743" s="159"/>
      <c r="AU743" s="159"/>
      <c r="AV743" s="159"/>
      <c r="AW743" s="159"/>
      <c r="AX743" s="159"/>
      <c r="AY743" s="158"/>
      <c r="AZ743" s="158"/>
      <c r="BA743" s="158"/>
      <c r="BB743" s="158"/>
      <c r="BC743" s="158"/>
      <c r="BD743" s="158"/>
      <c r="BE743" s="158"/>
      <c r="BF743" s="158"/>
      <c r="BG743" s="427"/>
      <c r="BH743" s="424"/>
      <c r="BI743" s="424"/>
    </row>
    <row r="744" spans="1:61" x14ac:dyDescent="0.2">
      <c r="K744" s="395"/>
      <c r="L744" s="188"/>
      <c r="R744" s="157"/>
      <c r="S744" s="158"/>
      <c r="T744" s="158"/>
      <c r="U744" s="158"/>
      <c r="V744" s="158"/>
      <c r="W744" s="158"/>
      <c r="X744" s="158"/>
      <c r="Y744" s="158"/>
      <c r="Z744" s="158"/>
      <c r="AA744" s="159"/>
      <c r="AB744" s="159"/>
      <c r="AC744" s="159"/>
      <c r="AD744" s="159"/>
      <c r="AE744" s="159"/>
      <c r="AF744" s="159"/>
      <c r="AG744" s="159"/>
      <c r="AH744" s="159"/>
      <c r="AI744" s="158"/>
      <c r="AJ744" s="158"/>
      <c r="AK744" s="158"/>
      <c r="AL744" s="158"/>
      <c r="AM744" s="158"/>
      <c r="AN744" s="158"/>
      <c r="AO744" s="158"/>
      <c r="AP744" s="158"/>
      <c r="AQ744" s="159"/>
      <c r="AR744" s="159"/>
      <c r="AS744" s="159"/>
      <c r="AT744" s="159"/>
      <c r="AU744" s="159"/>
      <c r="AV744" s="159"/>
      <c r="AW744" s="159"/>
      <c r="AX744" s="159"/>
      <c r="AY744" s="158"/>
      <c r="AZ744" s="158"/>
      <c r="BA744" s="158"/>
      <c r="BB744" s="158"/>
      <c r="BC744" s="158"/>
      <c r="BD744" s="158"/>
      <c r="BE744" s="158"/>
      <c r="BF744" s="158"/>
      <c r="BG744" s="427"/>
      <c r="BH744" s="424"/>
      <c r="BI744" s="424"/>
    </row>
    <row r="745" spans="1:61" x14ac:dyDescent="0.2">
      <c r="K745" s="395"/>
      <c r="L745" s="188"/>
      <c r="Q745" s="383"/>
      <c r="R745" s="157"/>
      <c r="S745" s="388"/>
      <c r="T745" s="158"/>
      <c r="U745" s="158"/>
      <c r="V745" s="158"/>
      <c r="W745" s="158"/>
      <c r="X745" s="158"/>
      <c r="Y745" s="158"/>
      <c r="Z745" s="158"/>
      <c r="AA745" s="159"/>
      <c r="AB745" s="159"/>
      <c r="AC745" s="159"/>
      <c r="AD745" s="159"/>
      <c r="AE745" s="159"/>
      <c r="AF745" s="159"/>
      <c r="AG745" s="159"/>
      <c r="AH745" s="159"/>
      <c r="AI745" s="158"/>
      <c r="AJ745" s="158"/>
      <c r="AK745" s="158"/>
      <c r="AL745" s="158"/>
      <c r="AM745" s="158"/>
      <c r="AN745" s="158"/>
      <c r="AO745" s="158"/>
      <c r="AP745" s="158"/>
      <c r="AQ745" s="159"/>
      <c r="AR745" s="159"/>
      <c r="AS745" s="159"/>
      <c r="AT745" s="159"/>
      <c r="AU745" s="159"/>
      <c r="AV745" s="159"/>
      <c r="AW745" s="159"/>
      <c r="AX745" s="159"/>
      <c r="AY745" s="158"/>
      <c r="AZ745" s="158"/>
      <c r="BA745" s="158"/>
      <c r="BB745" s="158"/>
      <c r="BC745" s="158"/>
      <c r="BD745" s="158"/>
      <c r="BE745" s="158"/>
      <c r="BF745" s="158"/>
      <c r="BG745" s="427"/>
      <c r="BH745" s="424"/>
      <c r="BI745" s="424"/>
    </row>
    <row r="746" spans="1:61" x14ac:dyDescent="0.2">
      <c r="K746" s="395"/>
      <c r="L746" s="188"/>
      <c r="Q746" s="383"/>
      <c r="R746" s="157"/>
      <c r="S746" s="388"/>
      <c r="T746" s="385"/>
      <c r="U746" s="385"/>
      <c r="V746" s="385"/>
      <c r="W746" s="385"/>
      <c r="X746" s="385"/>
      <c r="Y746" s="385"/>
      <c r="Z746" s="385"/>
      <c r="AA746" s="386"/>
      <c r="AB746" s="386"/>
      <c r="AC746" s="386"/>
      <c r="AD746" s="386"/>
      <c r="AE746" s="386"/>
      <c r="AF746" s="386"/>
      <c r="AG746" s="386"/>
      <c r="AH746" s="386"/>
      <c r="AI746" s="385"/>
      <c r="AJ746" s="385"/>
      <c r="AK746" s="385"/>
      <c r="AL746" s="385"/>
      <c r="AM746" s="385"/>
      <c r="AN746" s="385"/>
      <c r="AO746" s="385"/>
      <c r="AP746" s="385"/>
      <c r="AQ746" s="386"/>
      <c r="AR746" s="386"/>
      <c r="AS746" s="386"/>
      <c r="AT746" s="386"/>
      <c r="AU746" s="386"/>
      <c r="AV746" s="386"/>
      <c r="AW746" s="386"/>
      <c r="AX746" s="386"/>
      <c r="AY746" s="385"/>
      <c r="AZ746" s="385"/>
      <c r="BA746" s="385"/>
      <c r="BB746" s="385"/>
      <c r="BC746" s="385"/>
      <c r="BD746" s="385"/>
      <c r="BE746" s="385"/>
      <c r="BF746" s="385"/>
      <c r="BG746" s="427"/>
      <c r="BH746" s="424"/>
      <c r="BI746" s="424"/>
    </row>
    <row r="747" spans="1:61" x14ac:dyDescent="0.2">
      <c r="K747" s="395"/>
      <c r="L747" s="188"/>
      <c r="Q747" s="383"/>
      <c r="R747" s="157"/>
      <c r="S747" s="388"/>
      <c r="T747" s="385"/>
      <c r="U747" s="385"/>
      <c r="V747" s="385"/>
      <c r="W747" s="385"/>
      <c r="X747" s="385"/>
      <c r="Y747" s="385"/>
      <c r="Z747" s="385"/>
      <c r="AA747" s="386"/>
      <c r="AB747" s="386"/>
      <c r="AC747" s="386"/>
      <c r="AD747" s="386"/>
      <c r="AE747" s="386"/>
      <c r="AF747" s="386"/>
      <c r="AG747" s="386"/>
      <c r="AH747" s="386"/>
      <c r="AI747" s="385"/>
      <c r="AJ747" s="385"/>
      <c r="AK747" s="385"/>
      <c r="AL747" s="385"/>
      <c r="AM747" s="385"/>
      <c r="AN747" s="385"/>
      <c r="AO747" s="385"/>
      <c r="AP747" s="385"/>
      <c r="AQ747" s="386"/>
      <c r="AR747" s="386"/>
      <c r="AS747" s="386"/>
      <c r="AT747" s="386"/>
      <c r="AU747" s="386"/>
      <c r="AV747" s="386"/>
      <c r="AW747" s="386"/>
      <c r="AX747" s="386"/>
      <c r="AY747" s="385"/>
      <c r="AZ747" s="385"/>
      <c r="BA747" s="385"/>
      <c r="BB747" s="385"/>
      <c r="BC747" s="385"/>
      <c r="BD747" s="385"/>
      <c r="BE747" s="385"/>
      <c r="BF747" s="385"/>
      <c r="BG747" s="427"/>
      <c r="BH747" s="424"/>
      <c r="BI747" s="424"/>
    </row>
    <row r="748" spans="1:61" x14ac:dyDescent="0.2">
      <c r="K748" s="395"/>
      <c r="L748" s="188"/>
      <c r="Q748" s="383"/>
      <c r="R748" s="157"/>
      <c r="S748" s="388"/>
      <c r="T748" s="385"/>
      <c r="U748" s="385"/>
      <c r="V748" s="385"/>
      <c r="W748" s="385"/>
      <c r="X748" s="385"/>
      <c r="Y748" s="385"/>
      <c r="Z748" s="385"/>
      <c r="AA748" s="386"/>
      <c r="AB748" s="386"/>
      <c r="AC748" s="386"/>
      <c r="AD748" s="386"/>
      <c r="AE748" s="386"/>
      <c r="AF748" s="386"/>
      <c r="AG748" s="386"/>
      <c r="AH748" s="386"/>
      <c r="AI748" s="385"/>
      <c r="AJ748" s="385"/>
      <c r="AK748" s="385"/>
      <c r="AL748" s="385"/>
      <c r="AM748" s="385"/>
      <c r="AN748" s="385"/>
      <c r="AO748" s="385"/>
      <c r="AP748" s="385"/>
      <c r="AQ748" s="386"/>
      <c r="AR748" s="386"/>
      <c r="AS748" s="386"/>
      <c r="AT748" s="386"/>
      <c r="AU748" s="386"/>
      <c r="AV748" s="386"/>
      <c r="AW748" s="386"/>
      <c r="AX748" s="386"/>
      <c r="AY748" s="385"/>
      <c r="AZ748" s="385"/>
      <c r="BA748" s="385"/>
      <c r="BB748" s="385"/>
      <c r="BC748" s="385"/>
      <c r="BD748" s="385"/>
      <c r="BE748" s="385"/>
      <c r="BF748" s="385"/>
      <c r="BG748" s="427"/>
      <c r="BH748" s="424"/>
      <c r="BI748" s="424"/>
    </row>
    <row r="749" spans="1:61" x14ac:dyDescent="0.2">
      <c r="K749" s="395"/>
      <c r="L749" s="188"/>
      <c r="Q749" s="383"/>
      <c r="R749" s="157"/>
      <c r="S749" s="388"/>
      <c r="T749" s="385"/>
      <c r="U749" s="385"/>
      <c r="V749" s="385"/>
      <c r="W749" s="385"/>
      <c r="X749" s="385"/>
      <c r="Y749" s="385"/>
      <c r="Z749" s="385"/>
      <c r="AA749" s="386"/>
      <c r="AB749" s="386"/>
      <c r="AC749" s="386"/>
      <c r="AD749" s="386"/>
      <c r="AE749" s="386"/>
      <c r="AF749" s="386"/>
      <c r="AG749" s="386"/>
      <c r="AH749" s="386"/>
      <c r="AI749" s="385"/>
      <c r="AJ749" s="385"/>
      <c r="AK749" s="385"/>
      <c r="AL749" s="385"/>
      <c r="AM749" s="385"/>
      <c r="AN749" s="385"/>
      <c r="AO749" s="385"/>
      <c r="AP749" s="385"/>
      <c r="AQ749" s="386"/>
      <c r="AR749" s="386"/>
      <c r="AS749" s="386"/>
      <c r="AT749" s="386"/>
      <c r="AU749" s="386"/>
      <c r="AV749" s="386"/>
      <c r="AW749" s="386"/>
      <c r="AX749" s="386"/>
      <c r="AY749" s="385"/>
      <c r="AZ749" s="385"/>
      <c r="BA749" s="385"/>
      <c r="BB749" s="385"/>
      <c r="BC749" s="385"/>
      <c r="BD749" s="385"/>
      <c r="BE749" s="385"/>
      <c r="BF749" s="385"/>
      <c r="BG749" s="427"/>
      <c r="BH749" s="424"/>
      <c r="BI749" s="424"/>
    </row>
    <row r="750" spans="1:61" x14ac:dyDescent="0.2">
      <c r="K750" s="395"/>
      <c r="L750" s="188"/>
      <c r="Q750" s="383"/>
      <c r="R750" s="157"/>
      <c r="S750" s="388"/>
      <c r="T750" s="385"/>
      <c r="U750" s="385"/>
      <c r="V750" s="385"/>
      <c r="W750" s="385"/>
      <c r="X750" s="385"/>
      <c r="Y750" s="385"/>
      <c r="Z750" s="385"/>
      <c r="AA750" s="386"/>
      <c r="AB750" s="386"/>
      <c r="AC750" s="386"/>
      <c r="AD750" s="386"/>
      <c r="AE750" s="386"/>
      <c r="AF750" s="386"/>
      <c r="AG750" s="386"/>
      <c r="AH750" s="386"/>
      <c r="AI750" s="385"/>
      <c r="AJ750" s="385"/>
      <c r="AK750" s="385"/>
      <c r="AL750" s="385"/>
      <c r="AM750" s="385"/>
      <c r="AN750" s="385"/>
      <c r="AO750" s="385"/>
      <c r="AP750" s="385"/>
      <c r="AQ750" s="386"/>
      <c r="AR750" s="386"/>
      <c r="AS750" s="386"/>
      <c r="AT750" s="386"/>
      <c r="AU750" s="386"/>
      <c r="AV750" s="386"/>
      <c r="AW750" s="386"/>
      <c r="AX750" s="386"/>
      <c r="AY750" s="385"/>
      <c r="AZ750" s="385"/>
      <c r="BA750" s="385"/>
      <c r="BB750" s="385"/>
      <c r="BC750" s="385"/>
      <c r="BD750" s="385"/>
      <c r="BE750" s="385"/>
      <c r="BF750" s="385"/>
      <c r="BG750" s="427"/>
      <c r="BH750" s="424"/>
      <c r="BI750" s="424"/>
    </row>
    <row r="751" spans="1:61" x14ac:dyDescent="0.2">
      <c r="K751" s="395"/>
      <c r="L751" s="188"/>
      <c r="Q751" s="383"/>
      <c r="R751" s="157"/>
      <c r="S751" s="388"/>
      <c r="T751" s="385"/>
      <c r="U751" s="385"/>
      <c r="V751" s="385"/>
      <c r="W751" s="385"/>
      <c r="X751" s="385"/>
      <c r="Y751" s="385"/>
      <c r="Z751" s="385"/>
      <c r="AA751" s="386"/>
      <c r="AB751" s="386"/>
      <c r="AC751" s="386"/>
      <c r="AD751" s="386"/>
      <c r="AE751" s="386"/>
      <c r="AF751" s="386"/>
      <c r="AG751" s="386"/>
      <c r="AH751" s="386"/>
      <c r="AI751" s="385"/>
      <c r="AJ751" s="385"/>
      <c r="AK751" s="385"/>
      <c r="AL751" s="385"/>
      <c r="AM751" s="385"/>
      <c r="AN751" s="385"/>
      <c r="AO751" s="385"/>
      <c r="AP751" s="385"/>
      <c r="AQ751" s="386"/>
      <c r="AR751" s="386"/>
      <c r="AS751" s="386"/>
      <c r="AT751" s="386"/>
      <c r="AU751" s="386"/>
      <c r="AV751" s="386"/>
      <c r="AW751" s="386"/>
      <c r="AX751" s="386"/>
      <c r="AY751" s="385"/>
      <c r="AZ751" s="385"/>
      <c r="BA751" s="385"/>
      <c r="BB751" s="385"/>
      <c r="BC751" s="385"/>
      <c r="BD751" s="385"/>
      <c r="BE751" s="385"/>
      <c r="BF751" s="385"/>
      <c r="BG751" s="427"/>
      <c r="BH751" s="424"/>
      <c r="BI751" s="424"/>
    </row>
    <row r="752" spans="1:61" x14ac:dyDescent="0.2">
      <c r="K752" s="395"/>
      <c r="L752" s="188"/>
      <c r="Q752" s="383"/>
      <c r="R752" s="157"/>
      <c r="S752" s="388"/>
      <c r="T752" s="385"/>
      <c r="U752" s="385"/>
      <c r="V752" s="385"/>
      <c r="W752" s="385"/>
      <c r="X752" s="385"/>
      <c r="Y752" s="385"/>
      <c r="Z752" s="385"/>
      <c r="AA752" s="386"/>
      <c r="AB752" s="386"/>
      <c r="AC752" s="386"/>
      <c r="AD752" s="386"/>
      <c r="AE752" s="386"/>
      <c r="AF752" s="386"/>
      <c r="AG752" s="386"/>
      <c r="AH752" s="386"/>
      <c r="AI752" s="385"/>
      <c r="AJ752" s="385"/>
      <c r="AK752" s="385"/>
      <c r="AL752" s="385"/>
      <c r="AM752" s="385"/>
      <c r="AN752" s="385"/>
      <c r="AO752" s="385"/>
      <c r="AP752" s="385"/>
      <c r="AQ752" s="386"/>
      <c r="AR752" s="386"/>
      <c r="AS752" s="386"/>
      <c r="AT752" s="386"/>
      <c r="AU752" s="386"/>
      <c r="AV752" s="386"/>
      <c r="AW752" s="386"/>
      <c r="AX752" s="386"/>
      <c r="AY752" s="385"/>
      <c r="AZ752" s="385"/>
      <c r="BA752" s="385"/>
      <c r="BB752" s="385"/>
      <c r="BC752" s="385"/>
      <c r="BD752" s="385"/>
      <c r="BE752" s="385"/>
      <c r="BF752" s="385"/>
      <c r="BG752" s="427"/>
      <c r="BH752" s="424"/>
      <c r="BI752" s="424"/>
    </row>
    <row r="753" spans="11:61" x14ac:dyDescent="0.2">
      <c r="K753" s="395"/>
      <c r="L753" s="188"/>
      <c r="Q753" s="383"/>
      <c r="R753" s="157"/>
      <c r="S753" s="388"/>
      <c r="T753" s="385"/>
      <c r="U753" s="385"/>
      <c r="V753" s="385"/>
      <c r="W753" s="385"/>
      <c r="X753" s="385"/>
      <c r="Y753" s="385"/>
      <c r="Z753" s="385"/>
      <c r="AA753" s="386"/>
      <c r="AB753" s="386"/>
      <c r="AC753" s="386"/>
      <c r="AD753" s="386"/>
      <c r="AE753" s="386"/>
      <c r="AF753" s="386"/>
      <c r="AG753" s="386"/>
      <c r="AH753" s="386"/>
      <c r="AI753" s="385"/>
      <c r="AJ753" s="385"/>
      <c r="AK753" s="385"/>
      <c r="AL753" s="385"/>
      <c r="AM753" s="385"/>
      <c r="AN753" s="385"/>
      <c r="AO753" s="385"/>
      <c r="AP753" s="385"/>
      <c r="AQ753" s="386"/>
      <c r="AR753" s="386"/>
      <c r="AS753" s="386"/>
      <c r="AT753" s="386"/>
      <c r="AU753" s="386"/>
      <c r="AV753" s="386"/>
      <c r="AW753" s="386"/>
      <c r="AX753" s="386"/>
      <c r="AY753" s="385"/>
      <c r="AZ753" s="385"/>
      <c r="BA753" s="385"/>
      <c r="BB753" s="385"/>
      <c r="BC753" s="385"/>
      <c r="BD753" s="385"/>
      <c r="BE753" s="385"/>
      <c r="BF753" s="385"/>
      <c r="BG753" s="427"/>
      <c r="BH753" s="424"/>
      <c r="BI753" s="424"/>
    </row>
    <row r="754" spans="11:61" x14ac:dyDescent="0.2">
      <c r="K754" s="395"/>
      <c r="L754" s="188"/>
      <c r="Q754" s="383"/>
      <c r="R754" s="157"/>
      <c r="S754" s="388"/>
      <c r="T754" s="385"/>
      <c r="U754" s="385"/>
      <c r="V754" s="385"/>
      <c r="W754" s="385"/>
      <c r="X754" s="385"/>
      <c r="Y754" s="385"/>
      <c r="Z754" s="385"/>
      <c r="AA754" s="386"/>
      <c r="AB754" s="386"/>
      <c r="AC754" s="386"/>
      <c r="AD754" s="386"/>
      <c r="AE754" s="386"/>
      <c r="AF754" s="386"/>
      <c r="AG754" s="386"/>
      <c r="AH754" s="386"/>
      <c r="AI754" s="385"/>
      <c r="AJ754" s="385"/>
      <c r="AK754" s="385"/>
      <c r="AL754" s="385"/>
      <c r="AM754" s="385"/>
      <c r="AN754" s="385"/>
      <c r="AO754" s="385"/>
      <c r="AP754" s="385"/>
      <c r="AQ754" s="386"/>
      <c r="AR754" s="386"/>
      <c r="AS754" s="386"/>
      <c r="AT754" s="386"/>
      <c r="AU754" s="386"/>
      <c r="AV754" s="386"/>
      <c r="AW754" s="386"/>
      <c r="AX754" s="386"/>
      <c r="AY754" s="385"/>
      <c r="AZ754" s="385"/>
      <c r="BA754" s="385"/>
      <c r="BB754" s="385"/>
      <c r="BC754" s="385"/>
      <c r="BD754" s="385"/>
      <c r="BE754" s="385"/>
      <c r="BF754" s="385"/>
      <c r="BG754" s="427"/>
      <c r="BH754" s="424"/>
      <c r="BI754" s="424"/>
    </row>
    <row r="755" spans="11:61" x14ac:dyDescent="0.2">
      <c r="K755" s="395"/>
      <c r="L755" s="188"/>
      <c r="Q755" s="383"/>
      <c r="R755" s="157"/>
      <c r="S755" s="388"/>
      <c r="T755" s="385"/>
      <c r="U755" s="385"/>
      <c r="V755" s="385"/>
      <c r="W755" s="385"/>
      <c r="X755" s="385"/>
      <c r="Y755" s="385"/>
      <c r="Z755" s="385"/>
      <c r="AA755" s="386"/>
      <c r="AB755" s="386"/>
      <c r="AC755" s="386"/>
      <c r="AD755" s="386"/>
      <c r="AE755" s="386"/>
      <c r="AF755" s="386"/>
      <c r="AG755" s="386"/>
      <c r="AH755" s="386"/>
      <c r="AI755" s="385"/>
      <c r="AJ755" s="385"/>
      <c r="AK755" s="385"/>
      <c r="AL755" s="385"/>
      <c r="AM755" s="385"/>
      <c r="AN755" s="385"/>
      <c r="AO755" s="385"/>
      <c r="AP755" s="385"/>
      <c r="AQ755" s="386"/>
      <c r="AR755" s="386"/>
      <c r="AS755" s="386"/>
      <c r="AT755" s="386"/>
      <c r="AU755" s="386"/>
      <c r="AV755" s="386"/>
      <c r="AW755" s="386"/>
      <c r="AX755" s="386"/>
      <c r="AY755" s="385"/>
      <c r="AZ755" s="385"/>
      <c r="BA755" s="385"/>
      <c r="BB755" s="385"/>
      <c r="BC755" s="385"/>
      <c r="BD755" s="385"/>
      <c r="BE755" s="385"/>
      <c r="BF755" s="385"/>
      <c r="BG755" s="427"/>
      <c r="BH755" s="424"/>
      <c r="BI755" s="424"/>
    </row>
    <row r="756" spans="11:61" x14ac:dyDescent="0.2">
      <c r="K756" s="395"/>
      <c r="L756" s="188"/>
      <c r="Q756" s="383"/>
      <c r="R756" s="157"/>
      <c r="S756" s="388"/>
      <c r="T756" s="385"/>
      <c r="U756" s="385"/>
      <c r="V756" s="385"/>
      <c r="W756" s="385"/>
      <c r="X756" s="385"/>
      <c r="Y756" s="385"/>
      <c r="Z756" s="385"/>
      <c r="AA756" s="386"/>
      <c r="AB756" s="386"/>
      <c r="AC756" s="386"/>
      <c r="AD756" s="386"/>
      <c r="AE756" s="386"/>
      <c r="AF756" s="386"/>
      <c r="AG756" s="386"/>
      <c r="AH756" s="386"/>
      <c r="AI756" s="385"/>
      <c r="AJ756" s="385"/>
      <c r="AK756" s="385"/>
      <c r="AL756" s="385"/>
      <c r="AM756" s="385"/>
      <c r="AN756" s="385"/>
      <c r="AO756" s="385"/>
      <c r="AP756" s="385"/>
      <c r="AQ756" s="386"/>
      <c r="AR756" s="386"/>
      <c r="AS756" s="386"/>
      <c r="AT756" s="386"/>
      <c r="AU756" s="386"/>
      <c r="AV756" s="386"/>
      <c r="AW756" s="386"/>
      <c r="AX756" s="386"/>
      <c r="AY756" s="385"/>
      <c r="AZ756" s="385"/>
      <c r="BA756" s="385"/>
      <c r="BB756" s="385"/>
      <c r="BC756" s="385"/>
      <c r="BD756" s="385"/>
      <c r="BE756" s="385"/>
      <c r="BF756" s="385"/>
      <c r="BG756" s="427"/>
      <c r="BH756" s="424"/>
      <c r="BI756" s="424"/>
    </row>
    <row r="757" spans="11:61" x14ac:dyDescent="0.2">
      <c r="K757" s="395"/>
      <c r="L757" s="188"/>
      <c r="Q757" s="383"/>
      <c r="R757" s="157"/>
      <c r="S757" s="388"/>
      <c r="T757" s="385"/>
      <c r="U757" s="385"/>
      <c r="V757" s="385"/>
      <c r="W757" s="385"/>
      <c r="X757" s="385"/>
      <c r="Y757" s="385"/>
      <c r="Z757" s="385"/>
      <c r="AA757" s="386"/>
      <c r="AB757" s="386"/>
      <c r="AC757" s="386"/>
      <c r="AD757" s="386"/>
      <c r="AE757" s="386"/>
      <c r="AF757" s="386"/>
      <c r="AG757" s="386"/>
      <c r="AH757" s="386"/>
      <c r="AI757" s="385"/>
      <c r="AJ757" s="385"/>
      <c r="AK757" s="385"/>
      <c r="AL757" s="385"/>
      <c r="AM757" s="385"/>
      <c r="AN757" s="385"/>
      <c r="AO757" s="385"/>
      <c r="AP757" s="385"/>
      <c r="AQ757" s="386"/>
      <c r="AR757" s="386"/>
      <c r="AS757" s="386"/>
      <c r="AT757" s="386"/>
      <c r="AU757" s="386"/>
      <c r="AV757" s="386"/>
      <c r="AW757" s="386"/>
      <c r="AX757" s="386"/>
      <c r="AY757" s="385"/>
      <c r="AZ757" s="385"/>
      <c r="BA757" s="385"/>
      <c r="BB757" s="385"/>
      <c r="BC757" s="385"/>
      <c r="BD757" s="385"/>
      <c r="BE757" s="385"/>
      <c r="BF757" s="385"/>
      <c r="BG757" s="427"/>
      <c r="BH757" s="424"/>
      <c r="BI757" s="424"/>
    </row>
    <row r="758" spans="11:61" x14ac:dyDescent="0.2">
      <c r="K758" s="395"/>
      <c r="L758" s="188"/>
      <c r="Q758" s="383"/>
      <c r="R758" s="157"/>
      <c r="S758" s="388"/>
      <c r="T758" s="385"/>
      <c r="U758" s="385"/>
      <c r="V758" s="385"/>
      <c r="W758" s="385"/>
      <c r="X758" s="385"/>
      <c r="Y758" s="385"/>
      <c r="Z758" s="385"/>
      <c r="AA758" s="386"/>
      <c r="AB758" s="386"/>
      <c r="AC758" s="386"/>
      <c r="AD758" s="386"/>
      <c r="AE758" s="386"/>
      <c r="AF758" s="386"/>
      <c r="AG758" s="386"/>
      <c r="AH758" s="386"/>
      <c r="AI758" s="385"/>
      <c r="AJ758" s="385"/>
      <c r="AK758" s="385"/>
      <c r="AL758" s="385"/>
      <c r="AM758" s="385"/>
      <c r="AN758" s="385"/>
      <c r="AO758" s="385"/>
      <c r="AP758" s="385"/>
      <c r="AQ758" s="386"/>
      <c r="AR758" s="386"/>
      <c r="AS758" s="386"/>
      <c r="AT758" s="386"/>
      <c r="AU758" s="386"/>
      <c r="AV758" s="386"/>
      <c r="AW758" s="386"/>
      <c r="AX758" s="386"/>
      <c r="AY758" s="385"/>
      <c r="AZ758" s="385"/>
      <c r="BA758" s="385"/>
      <c r="BB758" s="385"/>
      <c r="BC758" s="385"/>
      <c r="BD758" s="385"/>
      <c r="BE758" s="385"/>
      <c r="BF758" s="385"/>
      <c r="BG758" s="427"/>
      <c r="BH758" s="424"/>
      <c r="BI758" s="424"/>
    </row>
    <row r="759" spans="11:61" x14ac:dyDescent="0.2">
      <c r="K759" s="395"/>
      <c r="L759" s="188"/>
      <c r="Q759" s="383"/>
      <c r="R759" s="157"/>
      <c r="S759" s="388"/>
      <c r="T759" s="385"/>
      <c r="U759" s="385"/>
      <c r="V759" s="385"/>
      <c r="W759" s="385"/>
      <c r="X759" s="385"/>
      <c r="Y759" s="385"/>
      <c r="Z759" s="385"/>
      <c r="AA759" s="386"/>
      <c r="AB759" s="386"/>
      <c r="AC759" s="386"/>
      <c r="AD759" s="386"/>
      <c r="AE759" s="386"/>
      <c r="AF759" s="386"/>
      <c r="AG759" s="386"/>
      <c r="AH759" s="386"/>
      <c r="AI759" s="385"/>
      <c r="AJ759" s="385"/>
      <c r="AK759" s="385"/>
      <c r="AL759" s="385"/>
      <c r="AM759" s="385"/>
      <c r="AN759" s="385"/>
      <c r="AO759" s="385"/>
      <c r="AP759" s="385"/>
      <c r="AQ759" s="386"/>
      <c r="AR759" s="386"/>
      <c r="AS759" s="386"/>
      <c r="AT759" s="386"/>
      <c r="AU759" s="386"/>
      <c r="AV759" s="386"/>
      <c r="AW759" s="386"/>
      <c r="AX759" s="386"/>
      <c r="AY759" s="385"/>
      <c r="AZ759" s="385"/>
      <c r="BA759" s="385"/>
      <c r="BB759" s="385"/>
      <c r="BC759" s="385"/>
      <c r="BD759" s="385"/>
      <c r="BE759" s="385"/>
      <c r="BF759" s="385"/>
      <c r="BG759" s="427"/>
      <c r="BH759" s="424"/>
      <c r="BI759" s="424"/>
    </row>
    <row r="760" spans="11:61" x14ac:dyDescent="0.2">
      <c r="Q760" s="383"/>
      <c r="R760" s="157"/>
      <c r="S760" s="388"/>
      <c r="T760" s="385"/>
      <c r="U760" s="385"/>
      <c r="V760" s="385"/>
      <c r="W760" s="385"/>
      <c r="X760" s="385"/>
      <c r="Y760" s="385"/>
      <c r="Z760" s="385"/>
      <c r="AA760" s="386"/>
      <c r="AB760" s="386"/>
      <c r="AC760" s="386"/>
      <c r="AD760" s="386"/>
      <c r="AE760" s="386"/>
      <c r="AF760" s="386"/>
      <c r="AG760" s="386"/>
      <c r="AH760" s="386"/>
      <c r="AI760" s="385"/>
      <c r="AJ760" s="385"/>
      <c r="AK760" s="385"/>
      <c r="AL760" s="385"/>
      <c r="AM760" s="385"/>
      <c r="AN760" s="385"/>
      <c r="AO760" s="385"/>
      <c r="AP760" s="385"/>
      <c r="AQ760" s="386"/>
      <c r="AR760" s="386"/>
      <c r="AS760" s="386"/>
      <c r="AT760" s="386"/>
      <c r="AU760" s="386"/>
      <c r="AV760" s="386"/>
      <c r="AW760" s="386"/>
      <c r="AX760" s="386"/>
      <c r="AY760" s="385"/>
      <c r="AZ760" s="385"/>
      <c r="BA760" s="385"/>
      <c r="BB760" s="385"/>
      <c r="BC760" s="385"/>
      <c r="BD760" s="385"/>
      <c r="BE760" s="385"/>
      <c r="BF760" s="385"/>
      <c r="BG760" s="427"/>
      <c r="BH760" s="424"/>
      <c r="BI760" s="424"/>
    </row>
    <row r="761" spans="11:61" x14ac:dyDescent="0.2">
      <c r="Q761" s="383"/>
      <c r="R761" s="157"/>
      <c r="S761" s="388"/>
      <c r="T761" s="385"/>
      <c r="U761" s="385"/>
      <c r="V761" s="385"/>
      <c r="W761" s="385"/>
      <c r="X761" s="385"/>
      <c r="Y761" s="385"/>
      <c r="Z761" s="385"/>
      <c r="AA761" s="386"/>
      <c r="AB761" s="386"/>
      <c r="AC761" s="386"/>
      <c r="AD761" s="386"/>
      <c r="AE761" s="386"/>
      <c r="AF761" s="386"/>
      <c r="AG761" s="386"/>
      <c r="AH761" s="386"/>
      <c r="AI761" s="385"/>
      <c r="AJ761" s="385"/>
      <c r="AK761" s="385"/>
      <c r="AL761" s="385"/>
      <c r="AM761" s="385"/>
      <c r="AN761" s="385"/>
      <c r="AO761" s="385"/>
      <c r="AP761" s="385"/>
      <c r="AQ761" s="386"/>
      <c r="AR761" s="386"/>
      <c r="AS761" s="386"/>
      <c r="AT761" s="386"/>
      <c r="AU761" s="386"/>
      <c r="AV761" s="386"/>
      <c r="AW761" s="386"/>
      <c r="AX761" s="386"/>
      <c r="AY761" s="385"/>
      <c r="AZ761" s="385"/>
      <c r="BA761" s="385"/>
      <c r="BB761" s="385"/>
      <c r="BC761" s="385"/>
      <c r="BD761" s="385"/>
      <c r="BE761" s="385"/>
      <c r="BF761" s="385"/>
      <c r="BG761" s="427"/>
      <c r="BH761" s="424"/>
      <c r="BI761" s="424"/>
    </row>
    <row r="762" spans="11:61" x14ac:dyDescent="0.2">
      <c r="Q762" s="383"/>
      <c r="R762" s="157"/>
      <c r="S762" s="388"/>
      <c r="T762" s="385"/>
      <c r="U762" s="385"/>
      <c r="V762" s="385"/>
      <c r="W762" s="385"/>
      <c r="X762" s="385"/>
      <c r="Y762" s="385"/>
      <c r="Z762" s="385"/>
      <c r="AA762" s="386"/>
      <c r="AB762" s="386"/>
      <c r="AC762" s="386"/>
      <c r="AD762" s="386"/>
      <c r="AE762" s="386"/>
      <c r="AF762" s="386"/>
      <c r="AG762" s="386"/>
      <c r="AH762" s="386"/>
      <c r="AI762" s="385"/>
      <c r="AJ762" s="385"/>
      <c r="AK762" s="385"/>
      <c r="AL762" s="385"/>
      <c r="AM762" s="385"/>
      <c r="AN762" s="385"/>
      <c r="AO762" s="385"/>
      <c r="AP762" s="385"/>
      <c r="AQ762" s="386"/>
      <c r="AR762" s="386"/>
      <c r="AS762" s="386"/>
      <c r="AT762" s="386"/>
      <c r="AU762" s="386"/>
      <c r="AV762" s="386"/>
      <c r="AW762" s="386"/>
      <c r="AX762" s="386"/>
      <c r="AY762" s="385"/>
      <c r="AZ762" s="385"/>
      <c r="BA762" s="385"/>
      <c r="BB762" s="385"/>
      <c r="BC762" s="385"/>
      <c r="BD762" s="385"/>
      <c r="BE762" s="385"/>
      <c r="BF762" s="385"/>
      <c r="BG762" s="427"/>
      <c r="BH762" s="424"/>
      <c r="BI762" s="424"/>
    </row>
    <row r="763" spans="11:61" x14ac:dyDescent="0.2">
      <c r="Q763" s="383"/>
      <c r="R763" s="157"/>
      <c r="S763" s="388"/>
      <c r="T763" s="385"/>
      <c r="U763" s="385"/>
      <c r="V763" s="385"/>
      <c r="W763" s="385"/>
      <c r="X763" s="385"/>
      <c r="Y763" s="385"/>
      <c r="Z763" s="385"/>
      <c r="AA763" s="386"/>
      <c r="AB763" s="386"/>
      <c r="AC763" s="386"/>
      <c r="AD763" s="386"/>
      <c r="AE763" s="386"/>
      <c r="AF763" s="386"/>
      <c r="AG763" s="386"/>
      <c r="AH763" s="386"/>
      <c r="AI763" s="385"/>
      <c r="AJ763" s="385"/>
      <c r="AK763" s="385"/>
      <c r="AL763" s="385"/>
      <c r="AM763" s="385"/>
      <c r="AN763" s="385"/>
      <c r="AO763" s="385"/>
      <c r="AP763" s="385"/>
      <c r="AQ763" s="386"/>
      <c r="AR763" s="386"/>
      <c r="AS763" s="386"/>
      <c r="AT763" s="386"/>
      <c r="AU763" s="386"/>
      <c r="AV763" s="386"/>
      <c r="AW763" s="386"/>
      <c r="AX763" s="386"/>
      <c r="AY763" s="385"/>
      <c r="AZ763" s="385"/>
      <c r="BA763" s="385"/>
      <c r="BB763" s="385"/>
      <c r="BC763" s="385"/>
      <c r="BD763" s="385"/>
      <c r="BE763" s="385"/>
      <c r="BF763" s="385"/>
      <c r="BG763" s="427"/>
      <c r="BH763" s="424"/>
      <c r="BI763" s="424"/>
    </row>
    <row r="764" spans="11:61" x14ac:dyDescent="0.2">
      <c r="Q764" s="383"/>
      <c r="R764" s="157"/>
      <c r="S764" s="388"/>
      <c r="T764" s="385"/>
      <c r="U764" s="385"/>
      <c r="V764" s="385"/>
      <c r="W764" s="385"/>
      <c r="X764" s="385"/>
      <c r="Y764" s="385"/>
      <c r="Z764" s="385"/>
      <c r="AA764" s="386"/>
      <c r="AB764" s="386"/>
      <c r="AC764" s="386"/>
      <c r="AD764" s="386"/>
      <c r="AE764" s="386"/>
      <c r="AF764" s="386"/>
      <c r="AG764" s="386"/>
      <c r="AH764" s="386"/>
      <c r="AI764" s="385"/>
      <c r="AJ764" s="385"/>
      <c r="AK764" s="385"/>
      <c r="AL764" s="385"/>
      <c r="AM764" s="385"/>
      <c r="AN764" s="385"/>
      <c r="AO764" s="385"/>
      <c r="AP764" s="385"/>
      <c r="AQ764" s="386"/>
      <c r="AR764" s="386"/>
      <c r="AS764" s="386"/>
      <c r="AT764" s="386"/>
      <c r="AU764" s="386"/>
      <c r="AV764" s="386"/>
      <c r="AW764" s="386"/>
      <c r="AX764" s="386"/>
      <c r="AY764" s="385"/>
      <c r="AZ764" s="385"/>
      <c r="BA764" s="385"/>
      <c r="BB764" s="385"/>
      <c r="BC764" s="385"/>
      <c r="BD764" s="385"/>
      <c r="BE764" s="385"/>
      <c r="BF764" s="385"/>
      <c r="BG764" s="427"/>
      <c r="BH764" s="424"/>
      <c r="BI764" s="424"/>
    </row>
    <row r="765" spans="11:61" x14ac:dyDescent="0.2">
      <c r="Q765" s="383"/>
      <c r="R765" s="157"/>
      <c r="S765" s="388"/>
      <c r="T765" s="385"/>
      <c r="U765" s="385"/>
      <c r="V765" s="385"/>
      <c r="W765" s="385"/>
      <c r="X765" s="385"/>
      <c r="Y765" s="385"/>
      <c r="Z765" s="385"/>
      <c r="AA765" s="386"/>
      <c r="AB765" s="386"/>
      <c r="AC765" s="386"/>
      <c r="AD765" s="386"/>
      <c r="AE765" s="386"/>
      <c r="AF765" s="386"/>
      <c r="AG765" s="386"/>
      <c r="AH765" s="386"/>
      <c r="AI765" s="385"/>
      <c r="AJ765" s="385"/>
      <c r="AK765" s="385"/>
      <c r="AL765" s="385"/>
      <c r="AM765" s="385"/>
      <c r="AN765" s="385"/>
      <c r="AO765" s="385"/>
      <c r="AP765" s="385"/>
      <c r="AQ765" s="386"/>
      <c r="AR765" s="386"/>
      <c r="AS765" s="386"/>
      <c r="AT765" s="386"/>
      <c r="AU765" s="386"/>
      <c r="AV765" s="386"/>
      <c r="AW765" s="386"/>
      <c r="AX765" s="386"/>
      <c r="AY765" s="385"/>
      <c r="AZ765" s="385"/>
      <c r="BA765" s="385"/>
      <c r="BB765" s="385"/>
      <c r="BC765" s="385"/>
      <c r="BD765" s="385"/>
      <c r="BE765" s="385"/>
      <c r="BF765" s="385"/>
      <c r="BG765" s="427"/>
      <c r="BH765" s="424"/>
      <c r="BI765" s="424"/>
    </row>
    <row r="766" spans="11:61" x14ac:dyDescent="0.2">
      <c r="Q766" s="383"/>
      <c r="R766" s="157"/>
      <c r="S766" s="388"/>
      <c r="T766" s="385"/>
      <c r="U766" s="385"/>
      <c r="V766" s="385"/>
      <c r="W766" s="385"/>
      <c r="X766" s="385"/>
      <c r="Y766" s="385"/>
      <c r="Z766" s="385"/>
      <c r="AA766" s="386"/>
      <c r="AB766" s="386"/>
      <c r="AC766" s="386"/>
      <c r="AD766" s="386"/>
      <c r="AE766" s="386"/>
      <c r="AF766" s="386"/>
      <c r="AG766" s="386"/>
      <c r="AH766" s="386"/>
      <c r="AI766" s="385"/>
      <c r="AJ766" s="385"/>
      <c r="AK766" s="385"/>
      <c r="AL766" s="385"/>
      <c r="AM766" s="385"/>
      <c r="AN766" s="385"/>
      <c r="AO766" s="385"/>
      <c r="AP766" s="385"/>
      <c r="AQ766" s="386"/>
      <c r="AR766" s="386"/>
      <c r="AS766" s="386"/>
      <c r="AT766" s="386"/>
      <c r="AU766" s="386"/>
      <c r="AV766" s="386"/>
      <c r="AW766" s="386"/>
      <c r="AX766" s="386"/>
      <c r="AY766" s="385"/>
      <c r="AZ766" s="385"/>
      <c r="BA766" s="385"/>
      <c r="BB766" s="385"/>
      <c r="BC766" s="385"/>
      <c r="BD766" s="385"/>
      <c r="BE766" s="385"/>
      <c r="BF766" s="385"/>
      <c r="BG766" s="427"/>
      <c r="BH766" s="424"/>
      <c r="BI766" s="424"/>
    </row>
    <row r="767" spans="11:61" x14ac:dyDescent="0.2">
      <c r="Q767" s="383"/>
      <c r="R767" s="157"/>
      <c r="S767" s="388"/>
      <c r="T767" s="385"/>
      <c r="U767" s="385"/>
      <c r="V767" s="385"/>
      <c r="W767" s="385"/>
      <c r="X767" s="385"/>
      <c r="Y767" s="385"/>
      <c r="Z767" s="385"/>
      <c r="AA767" s="386"/>
      <c r="AB767" s="386"/>
      <c r="AC767" s="386"/>
      <c r="AD767" s="386"/>
      <c r="AE767" s="386"/>
      <c r="AF767" s="386"/>
      <c r="AG767" s="386"/>
      <c r="AH767" s="386"/>
      <c r="AI767" s="385"/>
      <c r="AJ767" s="385"/>
      <c r="AK767" s="385"/>
      <c r="AL767" s="385"/>
      <c r="AM767" s="385"/>
      <c r="AN767" s="385"/>
      <c r="AO767" s="385"/>
      <c r="AP767" s="385"/>
      <c r="AQ767" s="386"/>
      <c r="AR767" s="386"/>
      <c r="AS767" s="386"/>
      <c r="AT767" s="386"/>
      <c r="AU767" s="386"/>
      <c r="AV767" s="386"/>
      <c r="AW767" s="386"/>
      <c r="AX767" s="386"/>
      <c r="AY767" s="385"/>
      <c r="AZ767" s="385"/>
      <c r="BA767" s="385"/>
      <c r="BB767" s="385"/>
      <c r="BC767" s="385"/>
      <c r="BD767" s="385"/>
      <c r="BE767" s="385"/>
      <c r="BF767" s="385"/>
      <c r="BG767" s="427"/>
      <c r="BH767" s="424"/>
      <c r="BI767" s="424"/>
    </row>
    <row r="768" spans="11:61" x14ac:dyDescent="0.2">
      <c r="Q768" s="383"/>
      <c r="R768" s="157"/>
      <c r="S768" s="388"/>
      <c r="T768" s="385"/>
      <c r="U768" s="385"/>
      <c r="V768" s="385"/>
      <c r="W768" s="385"/>
      <c r="X768" s="385"/>
      <c r="Y768" s="385"/>
      <c r="Z768" s="385"/>
      <c r="AA768" s="386"/>
      <c r="AB768" s="386"/>
      <c r="AC768" s="386"/>
      <c r="AD768" s="386"/>
      <c r="AE768" s="386"/>
      <c r="AF768" s="386"/>
      <c r="AG768" s="386"/>
      <c r="AH768" s="386"/>
      <c r="AI768" s="385"/>
      <c r="AJ768" s="385"/>
      <c r="AK768" s="385"/>
      <c r="AL768" s="385"/>
      <c r="AM768" s="385"/>
      <c r="AN768" s="385"/>
      <c r="AO768" s="385"/>
      <c r="AP768" s="385"/>
      <c r="AQ768" s="386"/>
      <c r="AR768" s="386"/>
      <c r="AS768" s="386"/>
      <c r="AT768" s="386"/>
      <c r="AU768" s="386"/>
      <c r="AV768" s="386"/>
      <c r="AW768" s="386"/>
      <c r="AX768" s="386"/>
      <c r="AY768" s="385"/>
      <c r="AZ768" s="385"/>
      <c r="BA768" s="385"/>
      <c r="BB768" s="385"/>
      <c r="BC768" s="385"/>
      <c r="BD768" s="385"/>
      <c r="BE768" s="385"/>
      <c r="BF768" s="385"/>
      <c r="BG768" s="427"/>
      <c r="BH768" s="424"/>
      <c r="BI768" s="424"/>
    </row>
    <row r="769" spans="1:61" x14ac:dyDescent="0.2">
      <c r="Q769" s="383"/>
      <c r="R769" s="157"/>
      <c r="S769" s="388"/>
      <c r="T769" s="385"/>
      <c r="U769" s="385"/>
      <c r="V769" s="385"/>
      <c r="W769" s="385"/>
      <c r="X769" s="385"/>
      <c r="Y769" s="385"/>
      <c r="Z769" s="385"/>
      <c r="AA769" s="386"/>
      <c r="AB769" s="386"/>
      <c r="AC769" s="386"/>
      <c r="AD769" s="386"/>
      <c r="AE769" s="386"/>
      <c r="AF769" s="386"/>
      <c r="AG769" s="386"/>
      <c r="AH769" s="386"/>
      <c r="AI769" s="385"/>
      <c r="AJ769" s="385"/>
      <c r="AK769" s="385"/>
      <c r="AL769" s="385"/>
      <c r="AM769" s="385"/>
      <c r="AN769" s="385"/>
      <c r="AO769" s="385"/>
      <c r="AP769" s="385"/>
      <c r="AQ769" s="386"/>
      <c r="AR769" s="386"/>
      <c r="AS769" s="386"/>
      <c r="AT769" s="386"/>
      <c r="AU769" s="386"/>
      <c r="AV769" s="386"/>
      <c r="AW769" s="386"/>
      <c r="AX769" s="386"/>
      <c r="AY769" s="385"/>
      <c r="AZ769" s="385"/>
      <c r="BA769" s="385"/>
      <c r="BB769" s="385"/>
      <c r="BC769" s="385"/>
      <c r="BD769" s="385"/>
      <c r="BE769" s="385"/>
      <c r="BF769" s="385"/>
      <c r="BG769" s="427"/>
      <c r="BH769" s="424"/>
      <c r="BI769" s="424"/>
    </row>
    <row r="770" spans="1:61" x14ac:dyDescent="0.2">
      <c r="Q770" s="383"/>
      <c r="R770" s="157"/>
      <c r="S770" s="388"/>
      <c r="T770" s="385"/>
      <c r="U770" s="385"/>
      <c r="V770" s="385"/>
      <c r="W770" s="385"/>
      <c r="X770" s="385"/>
      <c r="Y770" s="385"/>
      <c r="Z770" s="385"/>
      <c r="AA770" s="386"/>
      <c r="AB770" s="386"/>
      <c r="AC770" s="386"/>
      <c r="AD770" s="386"/>
      <c r="AE770" s="386"/>
      <c r="AF770" s="386"/>
      <c r="AG770" s="386"/>
      <c r="AH770" s="386"/>
      <c r="AI770" s="385"/>
      <c r="AJ770" s="385"/>
      <c r="AK770" s="385"/>
      <c r="AL770" s="385"/>
      <c r="AM770" s="385"/>
      <c r="AN770" s="385"/>
      <c r="AO770" s="385"/>
      <c r="AP770" s="385"/>
      <c r="AQ770" s="386"/>
      <c r="AR770" s="386"/>
      <c r="AS770" s="386"/>
      <c r="AT770" s="386"/>
      <c r="AU770" s="386"/>
      <c r="AV770" s="386"/>
      <c r="AW770" s="386"/>
      <c r="AX770" s="386"/>
      <c r="AY770" s="385"/>
      <c r="AZ770" s="385"/>
      <c r="BA770" s="385"/>
      <c r="BB770" s="385"/>
      <c r="BC770" s="385"/>
      <c r="BD770" s="385"/>
      <c r="BE770" s="385"/>
      <c r="BF770" s="385"/>
      <c r="BG770" s="427"/>
      <c r="BH770" s="424"/>
      <c r="BI770" s="424"/>
    </row>
    <row r="771" spans="1:61" x14ac:dyDescent="0.2">
      <c r="Q771" s="383"/>
      <c r="R771" s="157"/>
      <c r="S771" s="389"/>
      <c r="T771" s="385"/>
      <c r="U771" s="385"/>
      <c r="V771" s="385"/>
      <c r="W771" s="385"/>
      <c r="X771" s="385"/>
      <c r="Y771" s="385"/>
      <c r="Z771" s="385"/>
      <c r="AA771" s="386"/>
      <c r="AB771" s="386"/>
      <c r="AC771" s="386"/>
      <c r="AD771" s="386"/>
      <c r="AE771" s="386"/>
      <c r="AF771" s="386"/>
      <c r="AG771" s="386"/>
      <c r="AH771" s="386"/>
      <c r="AI771" s="385"/>
      <c r="AJ771" s="385"/>
      <c r="AK771" s="385"/>
      <c r="AL771" s="385"/>
      <c r="AM771" s="385"/>
      <c r="AN771" s="385"/>
      <c r="AO771" s="385"/>
      <c r="AP771" s="385"/>
      <c r="AQ771" s="386"/>
      <c r="AR771" s="386"/>
      <c r="AS771" s="386"/>
      <c r="AT771" s="386"/>
      <c r="AU771" s="386"/>
      <c r="AV771" s="386"/>
      <c r="AW771" s="386"/>
      <c r="AX771" s="386"/>
      <c r="AY771" s="385"/>
      <c r="AZ771" s="385"/>
      <c r="BA771" s="385"/>
      <c r="BB771" s="385"/>
      <c r="BC771" s="385"/>
      <c r="BD771" s="385"/>
      <c r="BE771" s="385"/>
      <c r="BF771" s="385"/>
      <c r="BG771" s="427"/>
      <c r="BH771" s="424"/>
      <c r="BI771" s="424"/>
    </row>
    <row r="772" spans="1:61" x14ac:dyDescent="0.2">
      <c r="Q772" s="383"/>
      <c r="R772" s="157"/>
      <c r="S772" s="389"/>
      <c r="T772" s="385"/>
      <c r="U772" s="385"/>
      <c r="V772" s="385"/>
      <c r="W772" s="385"/>
      <c r="X772" s="385"/>
      <c r="Y772" s="385"/>
      <c r="Z772" s="385"/>
      <c r="AA772" s="386"/>
      <c r="AB772" s="386"/>
      <c r="AC772" s="386"/>
      <c r="AD772" s="386"/>
      <c r="AE772" s="386"/>
      <c r="AF772" s="386"/>
      <c r="AG772" s="386"/>
      <c r="AH772" s="386"/>
      <c r="AI772" s="385"/>
      <c r="AJ772" s="385"/>
      <c r="AK772" s="385"/>
      <c r="AL772" s="385"/>
      <c r="AM772" s="385"/>
      <c r="AN772" s="385"/>
      <c r="AO772" s="385"/>
      <c r="AP772" s="385"/>
      <c r="AQ772" s="386"/>
      <c r="AR772" s="386"/>
      <c r="AS772" s="386"/>
      <c r="AT772" s="386"/>
      <c r="AU772" s="386"/>
      <c r="AV772" s="386"/>
      <c r="AW772" s="386"/>
      <c r="AX772" s="386"/>
      <c r="AY772" s="385"/>
      <c r="AZ772" s="385"/>
      <c r="BA772" s="385"/>
      <c r="BB772" s="385"/>
      <c r="BC772" s="385"/>
      <c r="BD772" s="385"/>
      <c r="BE772" s="385"/>
      <c r="BF772" s="385"/>
      <c r="BG772" s="427"/>
      <c r="BH772" s="424"/>
      <c r="BI772" s="424"/>
    </row>
    <row r="773" spans="1:61" x14ac:dyDescent="0.2">
      <c r="Q773" s="383"/>
      <c r="R773" s="157"/>
      <c r="S773" s="389"/>
      <c r="T773" s="385"/>
      <c r="U773" s="385"/>
      <c r="V773" s="385"/>
      <c r="W773" s="385"/>
      <c r="X773" s="385"/>
      <c r="Y773" s="385"/>
      <c r="Z773" s="385"/>
      <c r="AA773" s="386"/>
      <c r="AB773" s="386"/>
      <c r="AC773" s="386"/>
      <c r="AD773" s="386"/>
      <c r="AE773" s="386"/>
      <c r="AF773" s="386"/>
      <c r="AG773" s="386"/>
      <c r="AH773" s="386"/>
      <c r="AI773" s="385"/>
      <c r="AJ773" s="385"/>
      <c r="AK773" s="385"/>
      <c r="AL773" s="385"/>
      <c r="AM773" s="385"/>
      <c r="AN773" s="385"/>
      <c r="AO773" s="385"/>
      <c r="AP773" s="385"/>
      <c r="AQ773" s="386"/>
      <c r="AR773" s="386"/>
      <c r="AS773" s="386"/>
      <c r="AT773" s="386"/>
      <c r="AU773" s="386"/>
      <c r="AV773" s="386"/>
      <c r="AW773" s="386"/>
      <c r="AX773" s="386"/>
      <c r="AY773" s="385"/>
      <c r="AZ773" s="385"/>
      <c r="BA773" s="385"/>
      <c r="BB773" s="385"/>
      <c r="BC773" s="385"/>
      <c r="BD773" s="385"/>
      <c r="BE773" s="385"/>
      <c r="BF773" s="385"/>
      <c r="BG773" s="427"/>
      <c r="BH773" s="424"/>
      <c r="BI773" s="424"/>
    </row>
    <row r="774" spans="1:61" x14ac:dyDescent="0.2">
      <c r="Q774" s="383"/>
      <c r="R774" s="157"/>
      <c r="S774" s="389"/>
      <c r="T774" s="385"/>
      <c r="U774" s="385"/>
      <c r="V774" s="385"/>
      <c r="W774" s="385"/>
      <c r="X774" s="385"/>
      <c r="Y774" s="385"/>
      <c r="Z774" s="385"/>
      <c r="AA774" s="386"/>
      <c r="AB774" s="386"/>
      <c r="AC774" s="386"/>
      <c r="AD774" s="386"/>
      <c r="AE774" s="386"/>
      <c r="AF774" s="386"/>
      <c r="AG774" s="386"/>
      <c r="AH774" s="386"/>
      <c r="AI774" s="385"/>
      <c r="AJ774" s="385"/>
      <c r="AK774" s="385"/>
      <c r="AL774" s="385"/>
      <c r="AM774" s="385"/>
      <c r="AN774" s="385"/>
      <c r="AO774" s="385"/>
      <c r="AP774" s="385"/>
      <c r="AQ774" s="386"/>
      <c r="AR774" s="386"/>
      <c r="AS774" s="386"/>
      <c r="AT774" s="386"/>
      <c r="AU774" s="386"/>
      <c r="AV774" s="386"/>
      <c r="AW774" s="386"/>
      <c r="AX774" s="386"/>
      <c r="AY774" s="385"/>
      <c r="AZ774" s="385"/>
      <c r="BA774" s="385"/>
      <c r="BB774" s="385"/>
      <c r="BC774" s="385"/>
      <c r="BD774" s="385"/>
      <c r="BE774" s="385"/>
      <c r="BF774" s="385"/>
      <c r="BG774" s="427"/>
      <c r="BH774" s="424"/>
      <c r="BI774" s="424"/>
    </row>
    <row r="775" spans="1:61" x14ac:dyDescent="0.2">
      <c r="Q775" s="383"/>
      <c r="R775" s="157"/>
      <c r="S775" s="389"/>
      <c r="T775" s="385"/>
      <c r="U775" s="385"/>
      <c r="V775" s="385"/>
      <c r="W775" s="385"/>
      <c r="X775" s="385"/>
      <c r="Y775" s="385"/>
      <c r="Z775" s="385"/>
      <c r="AA775" s="386"/>
      <c r="AB775" s="386"/>
      <c r="AC775" s="386"/>
      <c r="AD775" s="386"/>
      <c r="AE775" s="386"/>
      <c r="AF775" s="386"/>
      <c r="AG775" s="386"/>
      <c r="AH775" s="386"/>
      <c r="AI775" s="385"/>
      <c r="AJ775" s="385"/>
      <c r="AK775" s="385"/>
      <c r="AL775" s="385"/>
      <c r="AM775" s="385"/>
      <c r="AN775" s="385"/>
      <c r="AO775" s="385"/>
      <c r="AP775" s="385"/>
      <c r="AQ775" s="386"/>
      <c r="AR775" s="386"/>
      <c r="AS775" s="386"/>
      <c r="AT775" s="386"/>
      <c r="AU775" s="386"/>
      <c r="AV775" s="386"/>
      <c r="AW775" s="386"/>
      <c r="AX775" s="386"/>
      <c r="AY775" s="385"/>
      <c r="AZ775" s="385"/>
      <c r="BA775" s="385"/>
      <c r="BB775" s="385"/>
      <c r="BC775" s="385"/>
      <c r="BD775" s="385"/>
      <c r="BE775" s="385"/>
      <c r="BF775" s="385"/>
      <c r="BG775" s="427"/>
      <c r="BH775" s="424"/>
      <c r="BI775" s="424"/>
    </row>
    <row r="776" spans="1:61" x14ac:dyDescent="0.2">
      <c r="Q776" s="383"/>
      <c r="R776" s="157"/>
      <c r="S776" s="389"/>
      <c r="T776" s="385"/>
      <c r="U776" s="385"/>
      <c r="V776" s="385"/>
      <c r="W776" s="385"/>
      <c r="X776" s="385"/>
      <c r="Y776" s="385"/>
      <c r="Z776" s="385"/>
      <c r="AA776" s="386"/>
      <c r="AB776" s="386"/>
      <c r="AC776" s="386"/>
      <c r="AD776" s="386"/>
      <c r="AE776" s="386"/>
      <c r="AF776" s="386"/>
      <c r="AG776" s="386"/>
      <c r="AH776" s="386"/>
      <c r="AI776" s="385"/>
      <c r="AJ776" s="385"/>
      <c r="AK776" s="385"/>
      <c r="AL776" s="385"/>
      <c r="AM776" s="385"/>
      <c r="AN776" s="385"/>
      <c r="AO776" s="385"/>
      <c r="AP776" s="385"/>
      <c r="AQ776" s="386"/>
      <c r="AR776" s="386"/>
      <c r="AS776" s="386"/>
      <c r="AT776" s="386"/>
      <c r="AU776" s="386"/>
      <c r="AV776" s="386"/>
      <c r="AW776" s="386"/>
      <c r="AX776" s="386"/>
      <c r="AY776" s="385"/>
      <c r="AZ776" s="385"/>
      <c r="BA776" s="385"/>
      <c r="BB776" s="385"/>
      <c r="BC776" s="385"/>
      <c r="BD776" s="385"/>
      <c r="BE776" s="385"/>
      <c r="BF776" s="385"/>
      <c r="BG776" s="427"/>
      <c r="BH776" s="424"/>
      <c r="BI776" s="424"/>
    </row>
    <row r="777" spans="1:61" x14ac:dyDescent="0.2">
      <c r="Q777" s="383"/>
      <c r="R777" s="157"/>
      <c r="S777" s="389"/>
      <c r="T777" s="385"/>
      <c r="U777" s="385"/>
      <c r="V777" s="385"/>
      <c r="W777" s="385"/>
      <c r="X777" s="385"/>
      <c r="Y777" s="385"/>
      <c r="Z777" s="385"/>
      <c r="AA777" s="386"/>
      <c r="AB777" s="386"/>
      <c r="AC777" s="386"/>
      <c r="AD777" s="386"/>
      <c r="AE777" s="386"/>
      <c r="AF777" s="386"/>
      <c r="AG777" s="386"/>
      <c r="AH777" s="386"/>
      <c r="AI777" s="385"/>
      <c r="AJ777" s="385"/>
      <c r="AK777" s="385"/>
      <c r="AL777" s="385"/>
      <c r="AM777" s="385"/>
      <c r="AN777" s="385"/>
      <c r="AO777" s="385"/>
      <c r="AP777" s="385"/>
      <c r="AQ777" s="386"/>
      <c r="AR777" s="386"/>
      <c r="AS777" s="386"/>
      <c r="AT777" s="386"/>
      <c r="AU777" s="386"/>
      <c r="AV777" s="386"/>
      <c r="AW777" s="386"/>
      <c r="AX777" s="386"/>
      <c r="AY777" s="385"/>
      <c r="AZ777" s="385"/>
      <c r="BA777" s="385"/>
      <c r="BB777" s="385"/>
      <c r="BC777" s="385"/>
      <c r="BD777" s="385"/>
      <c r="BE777" s="385"/>
      <c r="BF777" s="385"/>
      <c r="BG777" s="427"/>
      <c r="BH777" s="424"/>
      <c r="BI777" s="424"/>
    </row>
    <row r="778" spans="1:61" x14ac:dyDescent="0.2">
      <c r="Q778" s="383"/>
      <c r="R778" s="157"/>
      <c r="S778" s="389"/>
      <c r="T778" s="385"/>
      <c r="U778" s="385"/>
      <c r="V778" s="385"/>
      <c r="W778" s="385"/>
      <c r="X778" s="385"/>
      <c r="Y778" s="385"/>
      <c r="Z778" s="385"/>
      <c r="AA778" s="386"/>
      <c r="AB778" s="386"/>
      <c r="AC778" s="386"/>
      <c r="AD778" s="386"/>
      <c r="AE778" s="386"/>
      <c r="AF778" s="386"/>
      <c r="AG778" s="386"/>
      <c r="AH778" s="386"/>
      <c r="AI778" s="385"/>
      <c r="AJ778" s="385"/>
      <c r="AK778" s="385"/>
      <c r="AL778" s="385"/>
      <c r="AM778" s="385"/>
      <c r="AN778" s="385"/>
      <c r="AO778" s="385"/>
      <c r="AP778" s="385"/>
      <c r="AQ778" s="386"/>
      <c r="AR778" s="386"/>
      <c r="AS778" s="386"/>
      <c r="AT778" s="386"/>
      <c r="AU778" s="386"/>
      <c r="AV778" s="386"/>
      <c r="AW778" s="386"/>
      <c r="AX778" s="386"/>
      <c r="AY778" s="385"/>
      <c r="AZ778" s="385"/>
      <c r="BA778" s="385"/>
      <c r="BB778" s="385"/>
      <c r="BC778" s="385"/>
      <c r="BD778" s="385"/>
      <c r="BE778" s="385"/>
      <c r="BF778" s="385"/>
      <c r="BG778" s="427"/>
      <c r="BH778" s="424"/>
      <c r="BI778" s="424"/>
    </row>
    <row r="779" spans="1:61" x14ac:dyDescent="0.2">
      <c r="A779" s="398"/>
      <c r="B779" s="399"/>
      <c r="C779" s="400"/>
      <c r="D779" s="399"/>
      <c r="E779" s="400"/>
      <c r="F779" s="399"/>
      <c r="G779" s="399"/>
      <c r="H779" s="400"/>
      <c r="I779" s="399"/>
      <c r="J779" s="399"/>
      <c r="K779" s="398"/>
      <c r="L779" s="398"/>
      <c r="M779" s="401"/>
      <c r="N779" s="401"/>
      <c r="O779" s="401"/>
      <c r="P779" s="401"/>
      <c r="Q779" s="384"/>
    </row>
  </sheetData>
  <autoFilter ref="A2:BK653" xr:uid="{00000000-0001-0000-0B00-000000000000}">
    <sortState xmlns:xlrd2="http://schemas.microsoft.com/office/spreadsheetml/2017/richdata2" ref="A3:BK657">
      <sortCondition ref="A2:A653"/>
    </sortState>
  </autoFilter>
  <mergeCells count="3">
    <mergeCell ref="C1:D1"/>
    <mergeCell ref="E1:F1"/>
    <mergeCell ref="H1:I1"/>
  </mergeCells>
  <phoneticPr fontId="1"/>
  <conditionalFormatting sqref="L1:L1048576">
    <cfRule type="containsText" dxfId="2" priority="5" operator="containsText" text="×">
      <formula>NOT(ISERROR(SEARCH("×",L1)))</formula>
    </cfRule>
  </conditionalFormatting>
  <conditionalFormatting sqref="A1:A1048576">
    <cfRule type="duplicateValues" dxfId="1" priority="1"/>
  </conditionalFormatting>
  <conditionalFormatting sqref="A3:A641">
    <cfRule type="duplicateValues" dxfId="0" priority="69"/>
  </conditionalFormatting>
  <pageMargins left="0.7" right="0.7" top="0.75" bottom="0.75" header="0.3" footer="0.3"/>
  <pageSetup paperSize="8" scale="55"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N43"/>
  <sheetViews>
    <sheetView showGridLines="0" tabSelected="1" view="pageBreakPreview" zoomScaleNormal="100" zoomScaleSheetLayoutView="100" workbookViewId="0">
      <selection activeCell="C17" sqref="C17:G17"/>
    </sheetView>
  </sheetViews>
  <sheetFormatPr defaultColWidth="9" defaultRowHeight="16.5" x14ac:dyDescent="0.4"/>
  <cols>
    <col min="1" max="2" width="3.625" style="84" customWidth="1"/>
    <col min="3" max="7" width="6.125" style="84" customWidth="1"/>
    <col min="8" max="14" width="6.125" style="104" customWidth="1"/>
    <col min="15" max="15" width="10.625" style="99" customWidth="1"/>
    <col min="16" max="16" width="6.125" style="85" customWidth="1"/>
    <col min="17" max="28" width="6.125" style="84" customWidth="1"/>
    <col min="29" max="30" width="3.625" style="84" customWidth="1"/>
    <col min="31" max="32" width="30.625" style="85" customWidth="1"/>
    <col min="33" max="33" width="10.25" style="99" customWidth="1"/>
    <col min="34" max="34" width="10.25" style="84" bestFit="1" customWidth="1"/>
    <col min="35" max="36" width="10.25" style="84" customWidth="1"/>
    <col min="37" max="37" width="9.125" style="84" bestFit="1" customWidth="1"/>
    <col min="38" max="38" width="15.125" style="84" bestFit="1" customWidth="1"/>
    <col min="39" max="39" width="9" style="84"/>
    <col min="40" max="40" width="9.125" style="84" bestFit="1" customWidth="1"/>
    <col min="41" max="16384" width="9" style="84"/>
  </cols>
  <sheetData>
    <row r="1" spans="2:40" ht="140.1" customHeight="1" x14ac:dyDescent="0.4">
      <c r="B1" s="83"/>
      <c r="C1" s="474" t="s">
        <v>310</v>
      </c>
      <c r="D1" s="475"/>
      <c r="E1" s="475"/>
      <c r="F1" s="475"/>
      <c r="G1" s="475"/>
      <c r="H1" s="476"/>
      <c r="I1" s="476"/>
      <c r="J1" s="476"/>
      <c r="K1" s="476"/>
      <c r="L1" s="476"/>
      <c r="M1" s="476"/>
      <c r="N1" s="476"/>
      <c r="O1" s="476"/>
      <c r="P1" s="476"/>
      <c r="Q1" s="476"/>
      <c r="R1" s="476"/>
      <c r="S1" s="476"/>
      <c r="T1" s="476"/>
      <c r="U1" s="476"/>
      <c r="V1" s="476"/>
      <c r="W1" s="476"/>
      <c r="X1" s="476"/>
      <c r="Y1" s="476"/>
      <c r="Z1" s="476"/>
      <c r="AA1" s="476"/>
      <c r="AB1" s="476"/>
      <c r="AC1" s="83"/>
      <c r="AD1" s="83"/>
      <c r="AF1" s="95"/>
    </row>
    <row r="2" spans="2:40" ht="20.100000000000001" customHeight="1" x14ac:dyDescent="0.4">
      <c r="B2" s="455" t="s">
        <v>126</v>
      </c>
      <c r="C2" s="524"/>
      <c r="D2" s="524"/>
      <c r="E2" s="524"/>
      <c r="F2" s="524"/>
      <c r="G2" s="525"/>
      <c r="H2" s="455" t="s">
        <v>127</v>
      </c>
      <c r="I2" s="456"/>
      <c r="J2" s="456"/>
      <c r="K2" s="456"/>
      <c r="L2" s="456"/>
      <c r="M2" s="456"/>
      <c r="N2" s="457"/>
      <c r="O2" s="332" t="s">
        <v>125</v>
      </c>
      <c r="P2" s="529" t="s">
        <v>116</v>
      </c>
      <c r="Q2" s="461"/>
      <c r="R2" s="461"/>
      <c r="S2" s="461"/>
      <c r="T2" s="461"/>
      <c r="U2" s="461"/>
      <c r="V2" s="461"/>
      <c r="W2" s="461"/>
      <c r="X2" s="461"/>
      <c r="Y2" s="461"/>
      <c r="Z2" s="461"/>
      <c r="AA2" s="461"/>
      <c r="AB2" s="462"/>
      <c r="AC2" s="83"/>
      <c r="AD2" s="83"/>
      <c r="AE2" s="103" t="s">
        <v>315</v>
      </c>
      <c r="AF2" s="347" t="s">
        <v>312</v>
      </c>
    </row>
    <row r="3" spans="2:40" ht="24.95" customHeight="1" x14ac:dyDescent="0.4">
      <c r="B3" s="526" t="s">
        <v>210</v>
      </c>
      <c r="C3" s="486" t="s">
        <v>122</v>
      </c>
      <c r="D3" s="487"/>
      <c r="E3" s="487"/>
      <c r="F3" s="487"/>
      <c r="G3" s="488"/>
      <c r="H3" s="492" t="s">
        <v>123</v>
      </c>
      <c r="I3" s="493"/>
      <c r="J3" s="493"/>
      <c r="K3" s="493"/>
      <c r="L3" s="493"/>
      <c r="M3" s="493"/>
      <c r="N3" s="494"/>
      <c r="O3" s="449" t="str">
        <f xml:space="preserve">
IF(AND(AM3="×",AM4="×",AM5="×"),"×",
IF(AND(AM3="×",AM4="×",AM5="○"),"○"&amp;CHAR(10)&amp;"（公立）",
IF(AND(AM3="×",AM4="○",AM5="×"),"○"&amp;CHAR(10)&amp;"（個人）",
IF(AND(AM3="×",AM4="○",AM5="○"),"×",
IF(AND(AM3="○",AM4="×",AM5="×"),"○"&amp;CHAR(10)&amp;"（法人）",
IF(AND(AM3="○",AM4="×",AM5="○"),"×",
IF(AND(AM3="○",AM4="○",AM5="×"),"×",
IF(AND(AM3="○",AM4="○",AM5="○"),"×",
))))))))</f>
        <v>×</v>
      </c>
      <c r="P3" s="479" t="str">
        <f xml:space="preserve">
IF(AND(AM3="×",AM4="×",AM5="×"),"【要修正】いずれかのボックスにチェックしてください。",
IF(AND(AM3="×",AM4="×",AM5="○"),"適切に入力がされました。",
IF(AND(AM3="×",AM4="○",AM5="×"),"適切に入力がされました。",
IF(AND(AM3="×",AM4="○",AM5="○"),"【要修正】複数のボックスにチェックされています。（いずれか１つのみチェックしてください。）",
IF(AND(AM3="○",AM4="×",AM5="×"),"適切に入力がされました。",
IF(AND(AM3="○",AM4="×",AM5="○"),"【要修正】複数のボックスにチェックされています。（いずれか１つのみチェックしてください。）",
IF(AND(AM3="○",AM4="○",AM5="×"),"【要修正】複数のボックスにチェックされています。（いずれか１つのみチェックしてください。）",
IF(AND(AM3="○",AM4="○",AM5="○"),"【要修正】全てのボックスにチェックされています。（いずれか１つのみチェックしてください。）",
))))))))</f>
        <v>【要修正】いずれかのボックスにチェックしてください。</v>
      </c>
      <c r="Q3" s="480"/>
      <c r="R3" s="480"/>
      <c r="S3" s="480"/>
      <c r="T3" s="480"/>
      <c r="U3" s="480"/>
      <c r="V3" s="480"/>
      <c r="W3" s="480"/>
      <c r="X3" s="461"/>
      <c r="Y3" s="461"/>
      <c r="Z3" s="461"/>
      <c r="AA3" s="461"/>
      <c r="AB3" s="462"/>
      <c r="AC3" s="83"/>
      <c r="AD3" s="83"/>
      <c r="AE3" s="495" t="str">
        <f>IF(OR(O3="○"&amp;CHAR(10)&amp;"（法人）",O3="○"&amp;CHAR(10)&amp;"（公立）",O3="○"&amp;CHAR(10)&amp;"（個人）"),"",C3&amp;"/")</f>
        <v>法人・個人事業主の別/</v>
      </c>
      <c r="AF3" s="437" t="s">
        <v>313</v>
      </c>
      <c r="AM3" s="344" t="str">
        <f>IF(AN3=TRUE,"○","×")</f>
        <v>×</v>
      </c>
      <c r="AN3" s="345" t="b">
        <v>0</v>
      </c>
    </row>
    <row r="4" spans="2:40" ht="24.95" customHeight="1" x14ac:dyDescent="0.4">
      <c r="B4" s="527"/>
      <c r="C4" s="486"/>
      <c r="D4" s="487"/>
      <c r="E4" s="487"/>
      <c r="F4" s="487"/>
      <c r="G4" s="488"/>
      <c r="H4" s="533" t="s">
        <v>124</v>
      </c>
      <c r="I4" s="534"/>
      <c r="J4" s="534"/>
      <c r="K4" s="534"/>
      <c r="L4" s="534"/>
      <c r="M4" s="534"/>
      <c r="N4" s="535"/>
      <c r="O4" s="449"/>
      <c r="P4" s="479"/>
      <c r="Q4" s="480"/>
      <c r="R4" s="480"/>
      <c r="S4" s="480"/>
      <c r="T4" s="480"/>
      <c r="U4" s="480"/>
      <c r="V4" s="480"/>
      <c r="W4" s="480"/>
      <c r="X4" s="461"/>
      <c r="Y4" s="461"/>
      <c r="Z4" s="461"/>
      <c r="AA4" s="461"/>
      <c r="AB4" s="462"/>
      <c r="AC4" s="83"/>
      <c r="AD4" s="83"/>
      <c r="AE4" s="496"/>
      <c r="AF4" s="438"/>
      <c r="AM4" s="344" t="str">
        <f>IF(AN4=TRUE,"○","×")</f>
        <v>×</v>
      </c>
      <c r="AN4" s="345" t="b">
        <v>0</v>
      </c>
    </row>
    <row r="5" spans="2:40" ht="24.95" customHeight="1" x14ac:dyDescent="0.4">
      <c r="B5" s="527"/>
      <c r="C5" s="489"/>
      <c r="D5" s="490"/>
      <c r="E5" s="490"/>
      <c r="F5" s="490"/>
      <c r="G5" s="491"/>
      <c r="H5" s="530" t="s">
        <v>146</v>
      </c>
      <c r="I5" s="531"/>
      <c r="J5" s="531"/>
      <c r="K5" s="531"/>
      <c r="L5" s="531"/>
      <c r="M5" s="531"/>
      <c r="N5" s="532"/>
      <c r="O5" s="449"/>
      <c r="P5" s="481"/>
      <c r="Q5" s="480"/>
      <c r="R5" s="480"/>
      <c r="S5" s="480"/>
      <c r="T5" s="480"/>
      <c r="U5" s="480"/>
      <c r="V5" s="480"/>
      <c r="W5" s="480"/>
      <c r="X5" s="461"/>
      <c r="Y5" s="461"/>
      <c r="Z5" s="461"/>
      <c r="AA5" s="461"/>
      <c r="AB5" s="462"/>
      <c r="AC5" s="83"/>
      <c r="AD5" s="83"/>
      <c r="AE5" s="497"/>
      <c r="AF5" s="439"/>
      <c r="AM5" s="344" t="str">
        <f>IF(AN5=TRUE,"○","×")</f>
        <v>×</v>
      </c>
      <c r="AN5" s="345" t="b">
        <v>0</v>
      </c>
    </row>
    <row r="6" spans="2:40" ht="24.95" customHeight="1" x14ac:dyDescent="0.4">
      <c r="B6" s="527"/>
      <c r="C6" s="455" t="s">
        <v>14</v>
      </c>
      <c r="D6" s="456"/>
      <c r="E6" s="456"/>
      <c r="F6" s="456"/>
      <c r="G6" s="457"/>
      <c r="H6" s="508"/>
      <c r="I6" s="509"/>
      <c r="J6" s="509"/>
      <c r="K6" s="509"/>
      <c r="L6" s="509"/>
      <c r="M6" s="509"/>
      <c r="N6" s="510"/>
      <c r="O6" s="86" t="str">
        <f>IF(COUNTA(H6)=0,"×","○")</f>
        <v>×</v>
      </c>
      <c r="P6" s="440" t="str">
        <f>IF(O6="×","【要修正】法人の場合は法人名、個人事業主の場合は屋号を入力してください。","適切に入力がされました。")</f>
        <v>【要修正】法人の場合は法人名、個人事業主の場合は屋号を入力してください。</v>
      </c>
      <c r="Q6" s="482"/>
      <c r="R6" s="482"/>
      <c r="S6" s="482"/>
      <c r="T6" s="482"/>
      <c r="U6" s="482"/>
      <c r="V6" s="482"/>
      <c r="W6" s="482"/>
      <c r="X6" s="461"/>
      <c r="Y6" s="461"/>
      <c r="Z6" s="461"/>
      <c r="AA6" s="461"/>
      <c r="AB6" s="462"/>
      <c r="AC6" s="83"/>
      <c r="AD6" s="83"/>
      <c r="AE6" s="333" t="str">
        <f>IF(O6="○","",C6&amp;"/")</f>
        <v>事業者名/</v>
      </c>
      <c r="AF6" s="333" t="str">
        <f>ASC(H6)</f>
        <v/>
      </c>
    </row>
    <row r="7" spans="2:40" ht="24.95" customHeight="1" x14ac:dyDescent="0.4">
      <c r="B7" s="527"/>
      <c r="C7" s="455" t="s">
        <v>15</v>
      </c>
      <c r="D7" s="456"/>
      <c r="E7" s="456"/>
      <c r="F7" s="456"/>
      <c r="G7" s="457"/>
      <c r="H7" s="508"/>
      <c r="I7" s="509"/>
      <c r="J7" s="509"/>
      <c r="K7" s="509"/>
      <c r="L7" s="509"/>
      <c r="M7" s="509"/>
      <c r="N7" s="510"/>
      <c r="O7" s="86" t="str">
        <f>IF(COUNTA(H7)=0,"×","○")</f>
        <v>×</v>
      </c>
      <c r="P7" s="440" t="str">
        <f>IF(O7="×","【要修正】代表者の職名（「理事長」等）を入力してください。","適切に入力がされました。")</f>
        <v>【要修正】代表者の職名（「理事長」等）を入力してください。</v>
      </c>
      <c r="Q7" s="482"/>
      <c r="R7" s="482"/>
      <c r="S7" s="482"/>
      <c r="T7" s="482"/>
      <c r="U7" s="482"/>
      <c r="V7" s="482"/>
      <c r="W7" s="482"/>
      <c r="X7" s="461"/>
      <c r="Y7" s="461"/>
      <c r="Z7" s="461"/>
      <c r="AA7" s="461"/>
      <c r="AB7" s="462"/>
      <c r="AC7" s="83"/>
      <c r="AD7" s="83"/>
      <c r="AE7" s="333" t="str">
        <f>IF(O7="○","",C7&amp;"/")</f>
        <v>代表者役職/</v>
      </c>
      <c r="AF7" s="333" t="str">
        <f t="shared" ref="AF7:AF11" si="0">ASC(H7)</f>
        <v/>
      </c>
    </row>
    <row r="8" spans="2:40" ht="24.95" customHeight="1" x14ac:dyDescent="0.4">
      <c r="B8" s="527"/>
      <c r="C8" s="455" t="s">
        <v>12</v>
      </c>
      <c r="D8" s="456"/>
      <c r="E8" s="456"/>
      <c r="F8" s="456"/>
      <c r="G8" s="457"/>
      <c r="H8" s="508"/>
      <c r="I8" s="509"/>
      <c r="J8" s="509"/>
      <c r="K8" s="509"/>
      <c r="L8" s="509"/>
      <c r="M8" s="509"/>
      <c r="N8" s="510"/>
      <c r="O8" s="86" t="str">
        <f>IF(COUNTA(H8)=0,"×","○")</f>
        <v>×</v>
      </c>
      <c r="P8" s="440" t="str">
        <f>IF(O8="×","【要修正】代表者の氏名（例：「愛知　太郎」）を入力してください。","適切に入力がされました。")</f>
        <v>【要修正】代表者の氏名（例：「愛知　太郎」）を入力してください。</v>
      </c>
      <c r="Q8" s="482"/>
      <c r="R8" s="482"/>
      <c r="S8" s="482"/>
      <c r="T8" s="482"/>
      <c r="U8" s="482"/>
      <c r="V8" s="482"/>
      <c r="W8" s="482"/>
      <c r="X8" s="461"/>
      <c r="Y8" s="461"/>
      <c r="Z8" s="461"/>
      <c r="AA8" s="461"/>
      <c r="AB8" s="462"/>
      <c r="AC8" s="83"/>
      <c r="AD8" s="83"/>
      <c r="AE8" s="333" t="str">
        <f>IF(O8="○","",C8&amp;"/")</f>
        <v>代表者氏名/</v>
      </c>
      <c r="AF8" s="333" t="str">
        <f t="shared" si="0"/>
        <v/>
      </c>
    </row>
    <row r="9" spans="2:40" ht="24.95" customHeight="1" x14ac:dyDescent="0.4">
      <c r="B9" s="527"/>
      <c r="C9" s="455" t="s">
        <v>23</v>
      </c>
      <c r="D9" s="456"/>
      <c r="E9" s="456"/>
      <c r="F9" s="456"/>
      <c r="G9" s="457"/>
      <c r="H9" s="508"/>
      <c r="I9" s="509"/>
      <c r="J9" s="509"/>
      <c r="K9" s="509"/>
      <c r="L9" s="509"/>
      <c r="M9" s="509"/>
      <c r="N9" s="510"/>
      <c r="O9" s="86" t="str">
        <f>IF(COUNTA(H9)=0,"×","○")</f>
        <v>×</v>
      </c>
      <c r="P9" s="440" t="str">
        <f>IF(O9="×","【要修正】法人の場合は法人所在地、個人事業主の場合は貴医療機関の所在地を入力してください","適切に入力がされました。")</f>
        <v>【要修正】法人の場合は法人所在地、個人事業主の場合は貴医療機関の所在地を入力してください</v>
      </c>
      <c r="Q9" s="482"/>
      <c r="R9" s="482"/>
      <c r="S9" s="482"/>
      <c r="T9" s="482"/>
      <c r="U9" s="482"/>
      <c r="V9" s="482"/>
      <c r="W9" s="482"/>
      <c r="X9" s="461"/>
      <c r="Y9" s="461"/>
      <c r="Z9" s="461"/>
      <c r="AA9" s="461"/>
      <c r="AB9" s="462"/>
      <c r="AC9" s="83"/>
      <c r="AD9" s="83"/>
      <c r="AE9" s="333" t="str">
        <f>IF(O9="○","",C9&amp;"/")</f>
        <v>所在地/</v>
      </c>
      <c r="AF9" s="333" t="str">
        <f t="shared" si="0"/>
        <v/>
      </c>
    </row>
    <row r="10" spans="2:40" ht="24.95" customHeight="1" x14ac:dyDescent="0.4">
      <c r="B10" s="527"/>
      <c r="C10" s="455" t="s">
        <v>47</v>
      </c>
      <c r="D10" s="456"/>
      <c r="E10" s="456"/>
      <c r="F10" s="456"/>
      <c r="G10" s="457"/>
      <c r="H10" s="508"/>
      <c r="I10" s="509"/>
      <c r="J10" s="509"/>
      <c r="K10" s="509"/>
      <c r="L10" s="509"/>
      <c r="M10" s="509"/>
      <c r="N10" s="510"/>
      <c r="O10" s="86" t="str">
        <f xml:space="preserve">
IF(O3="×","×",
IF(AND(OR(O3="○"&amp;CHAR(10)&amp;"（個人）",O3="○"&amp;CHAR(10)&amp;"（法人）"),H10=""),"×",
IF(AND(O3="○"&amp;CHAR(10)&amp;"（法人）",H6=H10),"×",
IF(AND(O3="○"&amp;CHAR(10)&amp;"（法人）",H6&lt;&gt;H10),"○",
IF(AND(O3="○"&amp;CHAR(10)&amp;"（個人）",H6=H10),"○",
IF(AND(O3="○"&amp;CHAR(10)&amp;"（個人）",H6&lt;&gt;H10),"×",
IF(AND(O3="○"&amp;CHAR(10)&amp;"（公立）",H6=H10),"×",
IF(AND(O3="○"&amp;CHAR(10)&amp;"（公立）",H6&lt;&gt;H10),"○"
))))))))</f>
        <v>×</v>
      </c>
      <c r="P10" s="479" t="str">
        <f xml:space="preserve">
IF(O3="×","【要修正】「法人・個人事業主の別」の入力に問題があります。",
IF(AND(OR(O3="○"&amp;CHAR(10)&amp;"（個人）",O3="○"&amp;CHAR(10)&amp;"（法人）",O3="○"&amp;CHAR(10)&amp;"（公立）"),H10=""),"【要修正】医療機関の施設名称を入力してください。",
IF(AND(O3="○"&amp;CHAR(10)&amp;"（法人）",H6=H10),"【要修正】法人名ではなく、施設名を入力してください。（「医療法人」等は記載不要）",
IF(AND(O3="○"&amp;CHAR(10)&amp;"（法人）",H6&lt;&gt;H10),"適切に入力がされました。",
IF(AND(O3="○"&amp;CHAR(10)&amp;"（個人）",H6=H10),"適切に入力がされました。",
IF(AND(O3="○"&amp;CHAR(10)&amp;"（個人）",H6&lt;&gt;H10),"【要修正】個人事業主の場合は「事業者名」欄と一致するように入力してください。（コピー＆貼り付け入力推奨）",
IF(AND(O3="○"&amp;CHAR(10)&amp;"（公立）",H6=H10),"【要修正】自治体名ではなく、施設名を入力してください。（自治体名の記載は不要）",
IF(AND(O3="○"&amp;CHAR(10)&amp;"（公立）",H6&lt;&gt;H10),"適切に入力がされました。"
))))))))</f>
        <v>【要修正】「法人・個人事業主の別」の入力に問題があります。</v>
      </c>
      <c r="Q10" s="480"/>
      <c r="R10" s="480"/>
      <c r="S10" s="480"/>
      <c r="T10" s="480"/>
      <c r="U10" s="480"/>
      <c r="V10" s="480"/>
      <c r="W10" s="480"/>
      <c r="X10" s="461"/>
      <c r="Y10" s="461"/>
      <c r="Z10" s="461"/>
      <c r="AA10" s="461"/>
      <c r="AB10" s="462"/>
      <c r="AC10" s="83"/>
      <c r="AD10" s="83"/>
      <c r="AE10" s="333" t="str">
        <f xml:space="preserve">
IF(O3="×","",
IF(AND(OR(O3="○"&amp;CHAR(10)&amp;"（個人）",O3="○"&amp;CHAR(10)&amp;"（法人）",O3="○"&amp;CHAR(10)&amp;"（公立）"),H10=""),C10,
IF(AND(O3="○"&amp;CHAR(10)&amp;"（法人）",H6=H10),C10,
IF(AND(O3="○"&amp;CHAR(10)&amp;"（法人）",H6&lt;&gt;H10),"",
IF(AND(O3="○"&amp;CHAR(10)&amp;"（個人）",H6=H10),"",
IF(AND(O3="○"&amp;CHAR(10)&amp;"（個人）",H6&lt;&gt;H10),C10,
IF(AND(O3="○"&amp;CHAR(10)&amp;"（公立）",H6=H10),C10,
IF(AND(O3="○"&amp;CHAR(10)&amp;"（公立）",H6&lt;&gt;H10),""
))))))))</f>
        <v/>
      </c>
      <c r="AF10" s="333" t="str">
        <f t="shared" si="0"/>
        <v/>
      </c>
    </row>
    <row r="11" spans="2:40" ht="24.95" customHeight="1" x14ac:dyDescent="0.4">
      <c r="B11" s="527"/>
      <c r="C11" s="455" t="s">
        <v>42</v>
      </c>
      <c r="D11" s="456"/>
      <c r="E11" s="456"/>
      <c r="F11" s="456"/>
      <c r="G11" s="457"/>
      <c r="H11" s="508"/>
      <c r="I11" s="509"/>
      <c r="J11" s="509"/>
      <c r="K11" s="509"/>
      <c r="L11" s="509"/>
      <c r="M11" s="509"/>
      <c r="N11" s="510"/>
      <c r="O11" s="86" t="str">
        <f>IF(COUNTA(H11)=0,"×","○")</f>
        <v>×</v>
      </c>
      <c r="P11" s="479" t="str">
        <f>IF(COUNTA(H11)=0,"【要修正】「施設の名称」欄に入力した施設の所在地を入力してください。","適切に入力がされました。")</f>
        <v>【要修正】「施設の名称」欄に入力した施設の所在地を入力してください。</v>
      </c>
      <c r="Q11" s="480"/>
      <c r="R11" s="480"/>
      <c r="S11" s="480"/>
      <c r="T11" s="480"/>
      <c r="U11" s="480"/>
      <c r="V11" s="480"/>
      <c r="W11" s="480"/>
      <c r="X11" s="480"/>
      <c r="Y11" s="480"/>
      <c r="Z11" s="480"/>
      <c r="AA11" s="480"/>
      <c r="AB11" s="536"/>
      <c r="AC11" s="87"/>
      <c r="AD11" s="87"/>
      <c r="AE11" s="333" t="str">
        <f t="shared" ref="AE11:AE25" si="1">IF(O11="○","",C11&amp;"/")</f>
        <v>施設所在地/</v>
      </c>
      <c r="AF11" s="333" t="str">
        <f t="shared" si="0"/>
        <v/>
      </c>
      <c r="AK11" s="170" t="e">
        <f>MAX(テーブル!C14+30,テーブル!C15+30)</f>
        <v>#N/A</v>
      </c>
    </row>
    <row r="12" spans="2:40" ht="65.099999999999994" customHeight="1" x14ac:dyDescent="0.4">
      <c r="B12" s="527"/>
      <c r="C12" s="455" t="s">
        <v>17</v>
      </c>
      <c r="D12" s="456"/>
      <c r="E12" s="456"/>
      <c r="F12" s="456"/>
      <c r="G12" s="457"/>
      <c r="H12" s="88" t="s">
        <v>128</v>
      </c>
      <c r="I12" s="329"/>
      <c r="J12" s="89" t="s">
        <v>129</v>
      </c>
      <c r="K12" s="329"/>
      <c r="L12" s="89" t="s">
        <v>130</v>
      </c>
      <c r="M12" s="329"/>
      <c r="N12" s="90" t="s">
        <v>131</v>
      </c>
      <c r="O12" s="86" t="str">
        <f xml:space="preserve">
IF(AND(OR(テーブル!B3="交付申請",テーブル!B3="交付申請（２次以降）"),COUNTA(I12,K12,M12)=3,DATE(テーブル!C13,テーブル!D13,テーブル!E13)&lt;=DATE(テーブル!C10,テーブル!D10,テーブル!E10),DATE(テーブル!C13,テーブル!D13,テーブル!E13)&gt;=DATE(テーブル!C9,テーブル!D9,テーブル!E9)),"○",
IF(AND(OR(テーブル!B3="交付申請",テーブル!B3="交付申請（２次以降）"),OR(COUNTA(I12,K12,M12)&lt;&gt;3,OR(DATE(テーブル!C13,テーブル!D13,テーブル!E13)&gt;DATE(テーブル!C10,テーブル!D10,テーブル!E10),DATE(テーブル!C13,テーブル!D13,テーブル!E13)&lt;DATE(テーブル!C9,テーブル!D9,テーブル!E9)))),"×",
IF(AND(テーブル!B3="変更申請",COUNTA(I12,K12,M12)=3,DATE(テーブル!C13,テーブル!D13,テーブル!E13)&lt;=DATE(テーブル!C12,テーブル!D12,テーブル!E12),DATE(テーブル!C13,テーブル!D13,テーブル!E13)&gt;=DATE(テーブル!C11,テーブル!D11,テーブル!E11)),"○",
IF(AND(テーブル!B3="変更申請",OR(COUNTA(I12,K12,M12)&lt;&gt;3,DATE(テーブル!C13,テーブル!D13,テーブル!E13)&gt;DATE(テーブル!C12,テーブル!D12,テーブル!E12),DATE(テーブル!C13,テーブル!D13,テーブル!E13)&lt;DATE(テーブル!C11,テーブル!D11,テーブル!E11))),"×",
IF(AND(テーブル!B3="実績報告",COUNTA(L18)&lt;&gt;1,額内訳書!AU2="×"),
"×",
IF(AND(テーブル!B3="実績報告",COUNTA(L18)=1,額内訳書!AU2="×"),
"×",
IF(AND(テーブル!B3="実績報告",COUNTA(L18)&lt;&gt;1,額内訳書!AU2="○"),
"×",
IF(AND(テーブル!B3="実績報告",COUNTA(L18)=1,額内訳書!AU2="○",OR(DATE(テーブル!C13,テーブル!D13,テーブル!E13)&lt;MAX(DATE(テーブル!C14,テーブル!D14,テーブル!E14),DATE(テーブル!C15,テーブル!D15,テーブル!E15)),DATE(テーブル!C13,テーブル!D13,テーブル!E13)&gt;MAX(DATE(テーブル!C14,テーブル!D14,テーブル!E14+30),DATE(テーブル!C15,テーブル!D15,テーブル!E15+30)))),
"×",
IF(AND(テーブル!B3="実績報告",COUNTA(L18)=1,額内訳書!AU2="○",DATE(テーブル!C13,テーブル!D13,テーブル!E13)&gt;=MAX(DATE(テーブル!C14,テーブル!D14,テーブル!E14),DATE(テーブル!C15,テーブル!D15,テーブル!E15)),DATE(テーブル!C13,テーブル!D13,テーブル!E13)&lt;=MAX(DATE(テーブル!C14,テーブル!D14,テーブル!E14+30),DATE(テーブル!C15,テーブル!D15,テーブル!E15+30))),
"○"
)))))))))</f>
        <v>×</v>
      </c>
      <c r="P12" s="537" t="str">
        <f xml:space="preserve">
IF(AND(OR(テーブル!B3="交付申請",テーブル!B3="交付申請（２次以降）"),COUNTA(I12,K12,M12)=3,DATE(テーブル!C13,テーブル!D13,テーブル!E13)&lt;=DATE(テーブル!C10,テーブル!D10,テーブル!E10),DATE(テーブル!C13,テーブル!D13,テーブル!E13)&gt;=DATE(テーブル!C9,テーブル!D9,テーブル!E9)),"適切に入力がされました。",
IF(AND(OR(テーブル!B3="交付申請",テーブル!B3="交付申請（２次以降）"),OR(COUNTA(I12,K12,M12)&lt;&gt;3,OR(DATE(テーブル!C13,テーブル!D13,テーブル!E13)&gt;DATE(テーブル!C10,テーブル!D10,テーブル!E10),DATE(テーブル!C13,テーブル!D13,テーブル!E13)&lt;DATE(テーブル!C9,テーブル!D9,テーブル!E9)))),"【要修正】申請期間（"&amp;TEXT(DATE(テーブル!C9,テーブル!D9,テーブル!E9),"yyyy年mm月dd日")&amp;"～"&amp;TEXT(DATE(テーブル!C10,テーブル!D10,テーブル!E10),"yyyy年mm月dd日")&amp;"）の日付を入力してください。",
IF(AND(テーブル!B3="変更申請",COUNTA(I12,K12,M12)=3,DATE(テーブル!C13,テーブル!D13,テーブル!E13)&lt;=DATE(テーブル!C12,テーブル!D12,テーブル!E12),DATE(テーブル!C13,テーブル!D13,テーブル!E13)&gt;=DATE(テーブル!C11,テーブル!D11,テーブル!E11)),"適切に入力がされました。",
IF(AND(テーブル!B3="変更申請",OR(COUNTA(I12,K12,M12)&lt;&gt;3,DATE(テーブル!C13,テーブル!D13,テーブル!E13)&gt;DATE(テーブル!C12,テーブル!D12,テーブル!E12),DATE(テーブル!C13,テーブル!D13,テーブル!E13)&lt;DATE(テーブル!C11,テーブル!D11,テーブル!E11))),"【要修正】受付期間の日付"&amp;"（"&amp;TEXT(DATE(テーブル!C11,テーブル!D11,テーブル!E11),"yyyy年mm月dd日")&amp;"～"&amp;TEXT(DATE(テーブル!C12,テーブル!D12,テーブル!E12),"mm月dd日")&amp;"）"&amp;"を入力してください。",
IF(AND(テーブル!B3="実績報告",COUNTA(L18)&lt;&gt;1,額内訳書!AU2="×"),
"【要修正】《関連の記入欄（交付決定番号、「額内訳」シートの事業完了日）が適切に入力されると×の判定は解消されます。》交付決定日、事業完了日のいずれか遅い日から30日後までの日付を入力してください。（交付決定番号（下部に記入欄あり）及び額内訳書（別シート）に事業完了日を入力すると、提出日とすべき期間がコメントに表示されます。）",
IF(AND(テーブル!B3="実績報告",COUNTA(L18)=1,額内訳書!AU2="×"),
"【要修正】関係項目を入力し整合が取れると判定が○となります。"&amp;CHAR(10)&amp;"・交付決定日："&amp;TEXT(DATE(テーブル!C15,テーブル!D15,テーブル!E15),"yyyy年mm月dd日")&amp;"→"&amp;TEXT(DATE(テーブル!C15,テーブル!D15,テーブル!E15),"mm月dd日")&amp;"～"&amp;TEXT(DATE(テーブル!C15,テーブル!D15,テーブル!E15+30),"mm月dd日")&amp;CHAR(10)&amp;"・事業完了日：額内訳書（別シート）に事業完了日を入力すると、交付決定日および事業完了日から提出日とすべき期間がコメントに表示されます。）",
IF(AND(テーブル!B3="実績報告",COUNTA(L18)&lt;&gt;1,額内訳書!AU2="○"),
"【要修正】関係項目を入力し整合が取れると判定が○となります。"&amp;CHAR(10)&amp;"・交付決定日：交付決定番号（下部の欄）を入力すると、交付決定日および事業完了日から提出日とすべき期間がコメントに表示されます。）"&amp;CHAR(10)&amp;"・事業完了日："&amp;TEXT(DATE(テーブル!C14,テーブル!D14,テーブル!E14),"yyyy年mm月dd日")&amp;"→"&amp;TEXT(DATE(テーブル!C14,テーブル!D14,テーブル!E14),"mm月dd日")&amp;"～"&amp;TEXT(DATE(テーブル!C14,テーブル!D14,テーブル!E14+30),"mm月dd日"),
IF(AND(テーブル!B3="実績報告",COUNTA(L18)=1,額内訳書!AU2="○",OR(DATE(テーブル!C13,テーブル!D13,テーブル!E13)&lt;MAX(DATE(テーブル!C14,テーブル!D14,テーブル!E14),DATE(テーブル!C15,テーブル!D15,テーブル!E15)),DATE(テーブル!C13,テーブル!D13,テーブル!E13)&gt;MAX(DATE(テーブル!C14,テーブル!D14,テーブル!E14+30),DATE(テーブル!C15,テーブル!D15,テーブル!E15+30)))),
"【要修正】交付決定日および事業完了日から提出日とすべき日付は"&amp;TEXT(MAX(DATE(テーブル!C14,テーブル!D14,テーブル!E14),DATE(テーブル!C15,テーブル!D15,テーブル!E15)),"mm月dd日")&amp;"から"&amp;TEXT(MAX(DATE(テーブル!C14,テーブル!D14,テーブル!E14+30),DATE(テーブル!C15,テーブル!D15,テーブル!E15+30)),"mm月dd日")&amp;"までとしてください。",
IF(AND(テーブル!B3="実績報告",COUNTA(L18)=1,額内訳書!AU2="○",DATE(テーブル!C13,テーブル!D13,テーブル!E13)&gt;=MAX(DATE(テーブル!C14,テーブル!D14,テーブル!E14),DATE(テーブル!C15,テーブル!D15,テーブル!E15)),DATE(テーブル!C13,テーブル!D13,テーブル!E13)&lt;=MAX(DATE(テーブル!C14,テーブル!D14,テーブル!E14+30),DATE(テーブル!C15,テーブル!D15,テーブル!E15+30))),
"適切に入力がされました。"
)))))))))</f>
        <v>【要修正】《関連の記入欄（交付決定番号、「額内訳」シートの事業完了日）が適切に入力されると×の判定は解消されます。》交付決定日、事業完了日のいずれか遅い日から30日後までの日付を入力してください。（交付決定番号（下部に記入欄あり）及び額内訳書（別シート）に事業完了日を入力すると、提出日とすべき期間がコメントに表示されます。）</v>
      </c>
      <c r="Q12" s="538"/>
      <c r="R12" s="538"/>
      <c r="S12" s="538"/>
      <c r="T12" s="538"/>
      <c r="U12" s="538"/>
      <c r="V12" s="538"/>
      <c r="W12" s="538"/>
      <c r="X12" s="538"/>
      <c r="Y12" s="538"/>
      <c r="Z12" s="538"/>
      <c r="AA12" s="538"/>
      <c r="AB12" s="539"/>
      <c r="AC12" s="87"/>
      <c r="AD12" s="87"/>
      <c r="AE12" s="333" t="str">
        <f t="shared" si="1"/>
        <v>提出日/</v>
      </c>
      <c r="AF12" s="348" t="str">
        <f>IF(O12="×","",IF(O12="○",(TEXT(DATE(IF(I12=4,2022,IF(I12=5,2023)),K12,M12),"yyyy年mm月dd日"))))</f>
        <v/>
      </c>
      <c r="AK12" s="99" t="e">
        <f>IF(テーブル!C13&gt;=MAX(テーブル!C14,テーブル!C15),"○","×")</f>
        <v>#N/A</v>
      </c>
    </row>
    <row r="13" spans="2:40" ht="24.95" customHeight="1" x14ac:dyDescent="0.4">
      <c r="B13" s="527"/>
      <c r="C13" s="455" t="s">
        <v>18</v>
      </c>
      <c r="D13" s="456"/>
      <c r="E13" s="456"/>
      <c r="F13" s="456"/>
      <c r="G13" s="457"/>
      <c r="H13" s="508"/>
      <c r="I13" s="509"/>
      <c r="J13" s="509"/>
      <c r="K13" s="509"/>
      <c r="L13" s="509"/>
      <c r="M13" s="509"/>
      <c r="N13" s="510"/>
      <c r="O13" s="86" t="s">
        <v>133</v>
      </c>
      <c r="P13" s="479" t="s">
        <v>155</v>
      </c>
      <c r="Q13" s="480"/>
      <c r="R13" s="480"/>
      <c r="S13" s="480"/>
      <c r="T13" s="480"/>
      <c r="U13" s="480"/>
      <c r="V13" s="480"/>
      <c r="W13" s="480"/>
      <c r="X13" s="480"/>
      <c r="Y13" s="480"/>
      <c r="Z13" s="480"/>
      <c r="AA13" s="480"/>
      <c r="AB13" s="536"/>
      <c r="AC13" s="87"/>
      <c r="AD13" s="87"/>
      <c r="AE13" s="333" t="str">
        <f t="shared" si="1"/>
        <v/>
      </c>
      <c r="AF13" s="103" t="s">
        <v>313</v>
      </c>
      <c r="AG13" s="330"/>
      <c r="AH13" s="330"/>
      <c r="AI13" s="330"/>
      <c r="AJ13" s="331"/>
      <c r="AK13" s="99">
        <f>COUNTA(I12,K12,M12)</f>
        <v>0</v>
      </c>
      <c r="AL13" s="171">
        <f>テーブル!C13</f>
        <v>2022</v>
      </c>
    </row>
    <row r="14" spans="2:40" ht="24.95" customHeight="1" x14ac:dyDescent="0.4">
      <c r="B14" s="527"/>
      <c r="C14" s="455" t="s">
        <v>19</v>
      </c>
      <c r="D14" s="456"/>
      <c r="E14" s="456"/>
      <c r="F14" s="456"/>
      <c r="G14" s="457"/>
      <c r="H14" s="508"/>
      <c r="I14" s="509"/>
      <c r="J14" s="509"/>
      <c r="K14" s="509"/>
      <c r="L14" s="509"/>
      <c r="M14" s="509"/>
      <c r="N14" s="510"/>
      <c r="O14" s="86" t="str">
        <f>IF(COUNTA(H14)=0,"×","○")</f>
        <v>×</v>
      </c>
      <c r="P14" s="440" t="str">
        <f>IF(COUNTA(H14)=0,"【要修正】ご担当される方の所属あるいは職名（医師、事務等）を入力してください。","適切に入力がされました。")</f>
        <v>【要修正】ご担当される方の所属あるいは職名（医師、事務等）を入力してください。</v>
      </c>
      <c r="Q14" s="482"/>
      <c r="R14" s="482"/>
      <c r="S14" s="482"/>
      <c r="T14" s="482"/>
      <c r="U14" s="482"/>
      <c r="V14" s="482"/>
      <c r="W14" s="482"/>
      <c r="X14" s="461"/>
      <c r="Y14" s="461"/>
      <c r="Z14" s="461"/>
      <c r="AA14" s="461"/>
      <c r="AB14" s="462"/>
      <c r="AC14" s="83"/>
      <c r="AD14" s="83"/>
      <c r="AE14" s="333" t="str">
        <f t="shared" si="1"/>
        <v>担当部署/</v>
      </c>
      <c r="AF14" s="348" t="str">
        <f>ASC(H14)</f>
        <v/>
      </c>
      <c r="AI14" s="183"/>
      <c r="AJ14" s="343"/>
      <c r="AK14" s="99" t="e">
        <f>IF(テーブル!C13&lt;=MAX(テーブル!C14+30,テーブル!C15+30),"○","×")</f>
        <v>#N/A</v>
      </c>
      <c r="AL14" s="172" t="e">
        <f>MAX(テーブル!C14+30,テーブル!C15+30)</f>
        <v>#N/A</v>
      </c>
    </row>
    <row r="15" spans="2:40" ht="24.95" customHeight="1" x14ac:dyDescent="0.4">
      <c r="B15" s="527"/>
      <c r="C15" s="455" t="s">
        <v>20</v>
      </c>
      <c r="D15" s="456"/>
      <c r="E15" s="456"/>
      <c r="F15" s="456"/>
      <c r="G15" s="457"/>
      <c r="H15" s="508"/>
      <c r="I15" s="509"/>
      <c r="J15" s="509"/>
      <c r="K15" s="509"/>
      <c r="L15" s="509"/>
      <c r="M15" s="509"/>
      <c r="N15" s="510"/>
      <c r="O15" s="86" t="str">
        <f>IF(COUNTA(H15)=0,"×","○")</f>
        <v>×</v>
      </c>
      <c r="P15" s="440" t="str">
        <f>IF(COUNTA(H15)=0,"【要修正】この申請をご担当される方の氏名（フルネーム）を入力してください。（例：愛知　太郎）","適切に入力がされました。")</f>
        <v>【要修正】この申請をご担当される方の氏名（フルネーム）を入力してください。（例：愛知　太郎）</v>
      </c>
      <c r="Q15" s="482"/>
      <c r="R15" s="482"/>
      <c r="S15" s="482"/>
      <c r="T15" s="482"/>
      <c r="U15" s="482"/>
      <c r="V15" s="482"/>
      <c r="W15" s="482"/>
      <c r="X15" s="461"/>
      <c r="Y15" s="461"/>
      <c r="Z15" s="461"/>
      <c r="AA15" s="461"/>
      <c r="AB15" s="462"/>
      <c r="AC15" s="83"/>
      <c r="AD15" s="83"/>
      <c r="AE15" s="333" t="str">
        <f t="shared" si="1"/>
        <v>担当者名/</v>
      </c>
      <c r="AF15" s="348" t="str">
        <f>ASC(H15)</f>
        <v/>
      </c>
    </row>
    <row r="16" spans="2:40" ht="24.95" customHeight="1" x14ac:dyDescent="0.4">
      <c r="B16" s="527"/>
      <c r="C16" s="455" t="s">
        <v>120</v>
      </c>
      <c r="D16" s="456"/>
      <c r="E16" s="456"/>
      <c r="F16" s="456"/>
      <c r="G16" s="457"/>
      <c r="H16" s="470"/>
      <c r="I16" s="471"/>
      <c r="J16" s="472"/>
      <c r="K16" s="471"/>
      <c r="L16" s="472"/>
      <c r="M16" s="473"/>
      <c r="N16" s="346"/>
      <c r="O16" s="86" t="str">
        <f>IF(COUNTA(H16,J16,L16)=3,"○","×")</f>
        <v>×</v>
      </c>
      <c r="P16" s="440" t="str">
        <f>IF(O16="×","【要修正】《ハイフンは入力不要》やりとりをするための電話番号を入力してください。","適切に入力がされました。")</f>
        <v>【要修正】《ハイフンは入力不要》やりとりをするための電話番号を入力してください。</v>
      </c>
      <c r="Q16" s="482"/>
      <c r="R16" s="482"/>
      <c r="S16" s="482"/>
      <c r="T16" s="482"/>
      <c r="U16" s="482"/>
      <c r="V16" s="482"/>
      <c r="W16" s="482"/>
      <c r="X16" s="461"/>
      <c r="Y16" s="461"/>
      <c r="Z16" s="461"/>
      <c r="AA16" s="461"/>
      <c r="AB16" s="462"/>
      <c r="AC16" s="83"/>
      <c r="AD16" s="83"/>
      <c r="AE16" s="333" t="str">
        <f t="shared" si="1"/>
        <v>電話番号（担当直通）/</v>
      </c>
      <c r="AF16" s="348" t="str">
        <f>ASC(H16)&amp;"-"&amp;ASC(J16)&amp;"-"&amp;ASC(L16)</f>
        <v>--</v>
      </c>
    </row>
    <row r="17" spans="2:38" ht="24.95" customHeight="1" x14ac:dyDescent="0.4">
      <c r="B17" s="527"/>
      <c r="C17" s="455" t="s">
        <v>121</v>
      </c>
      <c r="D17" s="456"/>
      <c r="E17" s="456"/>
      <c r="F17" s="456"/>
      <c r="G17" s="457"/>
      <c r="H17" s="483"/>
      <c r="I17" s="484"/>
      <c r="J17" s="484"/>
      <c r="K17" s="484"/>
      <c r="L17" s="484"/>
      <c r="M17" s="484"/>
      <c r="N17" s="485"/>
      <c r="O17" s="86" t="str">
        <f>IF(COUNTA(H17)=0,"×","○")</f>
        <v>×</v>
      </c>
      <c r="P17" s="440" t="str">
        <f>IF(COUNTA(H17)=0,"【要修正】【重要：間違えないように】やりとりをするためのメールアドレスを入力してください。","適切に入力がされました。")</f>
        <v>【要修正】【重要：間違えないように】やりとりをするためのメールアドレスを入力してください。</v>
      </c>
      <c r="Q17" s="482"/>
      <c r="R17" s="482"/>
      <c r="S17" s="482"/>
      <c r="T17" s="482"/>
      <c r="U17" s="482"/>
      <c r="V17" s="482"/>
      <c r="W17" s="482"/>
      <c r="X17" s="461"/>
      <c r="Y17" s="461"/>
      <c r="Z17" s="461"/>
      <c r="AA17" s="461"/>
      <c r="AB17" s="462"/>
      <c r="AC17" s="83"/>
      <c r="AD17" s="83"/>
      <c r="AE17" s="333" t="str">
        <f t="shared" si="1"/>
        <v>Mailｱﾄﾞﾚｽ（担当直通）/</v>
      </c>
      <c r="AF17" s="348" t="str">
        <f>ASC(H17)</f>
        <v/>
      </c>
    </row>
    <row r="18" spans="2:38" ht="29.45" customHeight="1" x14ac:dyDescent="0.4">
      <c r="B18" s="528"/>
      <c r="C18" s="455" t="str">
        <f xml:space="preserve">
IF(テーブル!B3="交付申請","－",
IF(テーブル!B3="交付申請（２次以降）","既交付決定通知番号",
IF(テーブル!B3="変更申請","既交付決定通知番号",
IF(テーブル!B3="実績報告","既交付決定通知番号"))))</f>
        <v>既交付決定通知番号</v>
      </c>
      <c r="D18" s="456"/>
      <c r="E18" s="456"/>
      <c r="F18" s="456"/>
      <c r="G18" s="457"/>
      <c r="H18" s="515" t="s">
        <v>972</v>
      </c>
      <c r="I18" s="516"/>
      <c r="J18" s="516"/>
      <c r="K18" s="516"/>
      <c r="L18" s="514"/>
      <c r="M18" s="514"/>
      <c r="N18" s="165" t="s">
        <v>195</v>
      </c>
      <c r="O18" s="86" t="str">
        <f xml:space="preserve">
IF(テーブル!B3="交付申請","○",
IF(AND(テーブル!B3="交付申請（２次以降）",COUNTA(L18)=1),"○",
IF(AND(テーブル!B3="交付申請（２次以降）",COUNTA(L18)&lt;&gt;1),"×",
IF(AND(テーブル!B3="変更申請",COUNTA(L18)=1),"○",
IF(AND(テーブル!B3="変更申請",COUNTA(L18)&lt;&gt;1),"×",
IF(AND(テーブル!B3="実績報告",COUNTA(L18)=1),"○",
IF(AND(テーブル!B3="実績報告",COUNTA(L18)&lt;&gt;1),"×")))))))</f>
        <v>×</v>
      </c>
      <c r="P18" s="440" t="str">
        <f xml:space="preserve">
IF(テーブル!B3="交付申請","－",
IF(AND(テーブル!B3="交付申請（２次以降）",COUNTA(L18)=1),"適切に入力がされました。",
IF(AND(テーブル!B3="交付申請（２次以降）",COUNTA(L18)&lt;&gt;1),"【要修正】前回申請の際の交付決定番号を選択してください。（申請していない場合は「新規」を選択）",
IF(AND(テーブル!B3="変更申請",COUNTA(L18)=1),"適切に入力がされました。",
IF(AND(テーブル!B3="変更申請",COUNTA(L18)&lt;&gt;1),"×",
IF(AND(テーブル!B3="実績報告",COUNTA(L18)=1),"適切に入力がされました。",
IF(AND(テーブル!B3="実績報告",COUNTA(L18)&lt;&gt;1),"【要修正】２次申請の際に受けた交付決定番号を選択してください。")))))))</f>
        <v>【要修正】２次申請の際に受けた交付決定番号を選択してください。</v>
      </c>
      <c r="Q18" s="461"/>
      <c r="R18" s="461"/>
      <c r="S18" s="461"/>
      <c r="T18" s="461"/>
      <c r="U18" s="461"/>
      <c r="V18" s="461"/>
      <c r="W18" s="461"/>
      <c r="X18" s="461"/>
      <c r="Y18" s="461"/>
      <c r="Z18" s="461"/>
      <c r="AA18" s="461"/>
      <c r="AB18" s="462"/>
      <c r="AC18" s="83"/>
      <c r="AD18" s="83"/>
      <c r="AE18" s="333" t="str">
        <f t="shared" si="1"/>
        <v>既交付決定通知番号/</v>
      </c>
      <c r="AF18" s="103" t="s">
        <v>313</v>
      </c>
      <c r="AG18" s="99" t="str">
        <f>IF(L18="","",IF(L18="新規","新規","診検第"&amp;L18&amp;"号"))</f>
        <v/>
      </c>
      <c r="AL18" s="99" t="s">
        <v>206</v>
      </c>
    </row>
    <row r="19" spans="2:38" ht="24.95" hidden="1" customHeight="1" x14ac:dyDescent="0.4">
      <c r="B19" s="526" t="s">
        <v>211</v>
      </c>
      <c r="C19" s="455" t="str">
        <f xml:space="preserve">
IF(テーブル!B3="交付申請","金融機関番号",
IF(テーブル!B3="交付申請（２次以降）","金融機関番号",
IF(テーブル!B3="変更申請","－",
IF(テーブル!B3="実績報告","－"
))))</f>
        <v>－</v>
      </c>
      <c r="D19" s="463"/>
      <c r="E19" s="463"/>
      <c r="F19" s="463"/>
      <c r="G19" s="464"/>
      <c r="H19" s="352"/>
      <c r="I19" s="353"/>
      <c r="J19" s="353"/>
      <c r="K19" s="354"/>
      <c r="L19" s="463"/>
      <c r="M19" s="463"/>
      <c r="N19" s="464"/>
      <c r="O19" s="86" t="str">
        <f xml:space="preserve">
IF(AND(OR(テーブル!B3="交付申請",テーブル!B3="交付申請（２次以降）"),COUNTA(H19:K19)=4),"○",
IF(AND(OR(テーブル!B3="交付申請",テーブル!B3="交付申請（２次以降）"),COUNTA(H19:K19)&lt;&gt;4),"×",
IF(テーブル!B3="変更申請","○",
IF(テーブル!B3="実績報告","○"))))</f>
        <v>○</v>
      </c>
      <c r="P19" s="467" t="str">
        <f xml:space="preserve">
IF(AND(OR(テーブル!B3="交付申請",テーブル!B3="交付申請（２次以降）"),COUNTA(H19:K19)=4),"適切に入力がされました。",
IF(AND(OR(テーブル!B3="交付申請",テーブル!B3="交付申請（２次以降）"),COUNTA(H19:K19)&lt;&gt;4),"【要修正】振込先口座の金融機関コード（４桁）を入力してください。",
IF(テーブル!B3="変更申請","－",
IF(テーブル!B3="実績報告","－"))))</f>
        <v>－</v>
      </c>
      <c r="Q19" s="468"/>
      <c r="R19" s="468"/>
      <c r="S19" s="468"/>
      <c r="T19" s="468"/>
      <c r="U19" s="468"/>
      <c r="V19" s="468"/>
      <c r="W19" s="468"/>
      <c r="X19" s="468"/>
      <c r="Y19" s="468"/>
      <c r="Z19" s="468"/>
      <c r="AA19" s="468"/>
      <c r="AB19" s="469"/>
      <c r="AC19" s="83"/>
      <c r="AD19" s="83"/>
      <c r="AE19" s="333" t="str">
        <f t="shared" si="1"/>
        <v/>
      </c>
      <c r="AF19" s="348" t="str">
        <f>ASC(H19&amp;I19&amp;J19&amp;K19)</f>
        <v/>
      </c>
      <c r="AL19" s="99" t="s">
        <v>207</v>
      </c>
    </row>
    <row r="20" spans="2:38" ht="24.95" hidden="1" customHeight="1" x14ac:dyDescent="0.4">
      <c r="B20" s="527"/>
      <c r="C20" s="455" t="s">
        <v>209</v>
      </c>
      <c r="D20" s="463"/>
      <c r="E20" s="463"/>
      <c r="F20" s="463"/>
      <c r="G20" s="464"/>
      <c r="H20" s="451"/>
      <c r="I20" s="465"/>
      <c r="J20" s="465"/>
      <c r="K20" s="465"/>
      <c r="L20" s="465"/>
      <c r="M20" s="465"/>
      <c r="N20" s="466"/>
      <c r="O20" s="86" t="str">
        <f xml:space="preserve">
IF(AND(OR(テーブル!B3="交付申請",テーブル!B3="交付申請（２次以降）"),COUNTA(H20)=1),"○",
IF(AND(OR(テーブル!B3="交付申請",テーブル!B3="交付申請（２次以降）"),COUNTA(H20)&lt;&gt;1),"×",
IF(テーブル!B3="変更申請","○",
IF(テーブル!B3="実績報告","○"))))</f>
        <v>○</v>
      </c>
      <c r="P20" s="467" t="str">
        <f xml:space="preserve">
IF(AND(OR(テーブル!B3="交付申請",テーブル!B3="交付申請（２次以降）"),COUNTA(H20)=1),"適切に入力がされました",
IF(AND(OR(テーブル!B3="交付申請",テーブル!B3="交付申請（２次以降）"),COUNTA(H20)&lt;&gt;1),"【要修正】振込先口座の金融機関名を入力してください。（「○○銀行」まで）",
IF(テーブル!B3="変更申請","－",
IF(テーブル!B3="実績報告","－"))))</f>
        <v>－</v>
      </c>
      <c r="Q20" s="468"/>
      <c r="R20" s="468"/>
      <c r="S20" s="468"/>
      <c r="T20" s="468"/>
      <c r="U20" s="468"/>
      <c r="V20" s="468"/>
      <c r="W20" s="468"/>
      <c r="X20" s="468"/>
      <c r="Y20" s="468"/>
      <c r="Z20" s="468"/>
      <c r="AA20" s="468"/>
      <c r="AB20" s="469"/>
      <c r="AC20" s="83"/>
      <c r="AD20" s="83"/>
      <c r="AE20" s="333" t="str">
        <f t="shared" si="1"/>
        <v/>
      </c>
      <c r="AF20" s="348" t="str">
        <f t="shared" ref="AF20:AF22" si="2">ASC(H20)</f>
        <v/>
      </c>
    </row>
    <row r="21" spans="2:38" ht="24.95" hidden="1" customHeight="1" x14ac:dyDescent="0.4">
      <c r="B21" s="527"/>
      <c r="C21" s="455" t="str">
        <f xml:space="preserve">
IF(テーブル!B3="交付申請","支店番号",
IF(テーブル!B3="交付申請（２次以降）","支店番号",
IF(テーブル!B3="変更申請","－",
IF(テーブル!B3="実績報告","－"
))))</f>
        <v>－</v>
      </c>
      <c r="D21" s="463"/>
      <c r="E21" s="463"/>
      <c r="F21" s="463"/>
      <c r="G21" s="464"/>
      <c r="H21" s="352"/>
      <c r="I21" s="353"/>
      <c r="J21" s="354"/>
      <c r="K21" s="463"/>
      <c r="L21" s="463"/>
      <c r="M21" s="463"/>
      <c r="N21" s="464"/>
      <c r="O21" s="86" t="str">
        <f xml:space="preserve">
IF(AND(OR(テーブル!B3="交付申請",テーブル!B3="交付申請（２次以降）"),COUNTA(H21:J21)=3),"○",
IF(AND(OR(テーブル!B3="交付申請",テーブル!B3="交付申請（２次以降）"),COUNTA(H21:J21)&lt;&gt;3),"×",
IF(テーブル!B3="変更申請","○",
IF(テーブル!B3="実績報告","○"))))</f>
        <v>○</v>
      </c>
      <c r="P21" s="467" t="str">
        <f xml:space="preserve">
IF(AND(OR(テーブル!B3="交付申請",テーブル!B3="交付申請（２次以降）"),COUNTA(H21:J21)=3),"適切に入力がされました。",
IF(AND(OR(テーブル!B3="交付申請",テーブル!B3="交付申請（２次以降）"),COUNTA(H21:J21)&lt;&gt;3),"【要修正】振込先口座の支店コード（３桁）を入力してください。",
IF(テーブル!B3="変更申請","－",
IF(テーブル!B3="実績報告","－"))))</f>
        <v>－</v>
      </c>
      <c r="Q21" s="468"/>
      <c r="R21" s="468"/>
      <c r="S21" s="468"/>
      <c r="T21" s="468"/>
      <c r="U21" s="468"/>
      <c r="V21" s="468"/>
      <c r="W21" s="468"/>
      <c r="X21" s="468"/>
      <c r="Y21" s="468"/>
      <c r="Z21" s="468"/>
      <c r="AA21" s="468"/>
      <c r="AB21" s="469"/>
      <c r="AC21" s="83"/>
      <c r="AD21" s="83"/>
      <c r="AE21" s="333" t="str">
        <f t="shared" si="1"/>
        <v/>
      </c>
      <c r="AF21" s="348" t="str">
        <f>ASC(H19&amp;I19&amp;J19&amp;K19&amp;H21&amp;I21&amp;J21)</f>
        <v/>
      </c>
    </row>
    <row r="22" spans="2:38" ht="24.95" hidden="1" customHeight="1" x14ac:dyDescent="0.4">
      <c r="B22" s="527"/>
      <c r="C22" s="455" t="s">
        <v>213</v>
      </c>
      <c r="D22" s="463"/>
      <c r="E22" s="463"/>
      <c r="F22" s="463"/>
      <c r="G22" s="464"/>
      <c r="H22" s="451"/>
      <c r="I22" s="465"/>
      <c r="J22" s="465"/>
      <c r="K22" s="465"/>
      <c r="L22" s="465"/>
      <c r="M22" s="465"/>
      <c r="N22" s="466"/>
      <c r="O22" s="86" t="str">
        <f xml:space="preserve">
IF(AND(OR(テーブル!B3="交付申請",テーブル!B3="交付申請（２次以降）"),COUNTA(H22)=1),"○",
IF(AND(OR(テーブル!B3="交付申請",テーブル!B3="交付申請（２次以降）"),COUNTA(H22)&lt;&gt;1),"×",
IF(テーブル!B3="変更申請","○",
IF(テーブル!B3="実績報告","○"))))</f>
        <v>○</v>
      </c>
      <c r="P22" s="467" t="str">
        <f xml:space="preserve">
IF(AND(OR(テーブル!B3="交付申請",テーブル!B3="交付申請（２次以降）"),COUNTA(H22)=1),"適切に入力がされました",
IF(AND(OR(テーブル!B3="交付申請",テーブル!B3="交付申請（２次以降）"),COUNTA(H22)&lt;&gt;1),"【要修正】振込先口座の店名（支店名）を入力してください。",
IF(テーブル!B3="変更申請","－",
IF(テーブル!B3="実績報告","－"))))</f>
        <v>－</v>
      </c>
      <c r="Q22" s="468"/>
      <c r="R22" s="468"/>
      <c r="S22" s="468"/>
      <c r="T22" s="468"/>
      <c r="U22" s="468"/>
      <c r="V22" s="468"/>
      <c r="W22" s="468"/>
      <c r="X22" s="468"/>
      <c r="Y22" s="468"/>
      <c r="Z22" s="468"/>
      <c r="AA22" s="468"/>
      <c r="AB22" s="469"/>
      <c r="AC22" s="83"/>
      <c r="AD22" s="83"/>
      <c r="AE22" s="333" t="str">
        <f t="shared" si="1"/>
        <v/>
      </c>
      <c r="AF22" s="348" t="str">
        <f t="shared" si="2"/>
        <v/>
      </c>
    </row>
    <row r="23" spans="2:38" ht="24.95" hidden="1" customHeight="1" x14ac:dyDescent="0.4">
      <c r="B23" s="527"/>
      <c r="C23" s="455" t="s">
        <v>214</v>
      </c>
      <c r="D23" s="463"/>
      <c r="E23" s="463"/>
      <c r="F23" s="463"/>
      <c r="G23" s="464"/>
      <c r="H23" s="355"/>
      <c r="I23" s="524" t="s">
        <v>216</v>
      </c>
      <c r="J23" s="524"/>
      <c r="K23" s="524"/>
      <c r="L23" s="524"/>
      <c r="M23" s="524"/>
      <c r="N23" s="525"/>
      <c r="O23" s="86" t="str">
        <f xml:space="preserve">
IF(AND(OR(テーブル!B3="交付申請",テーブル!B3="交付申請（２次以降）"),COUNTA(H23)=1),"○",
IF(AND(OR(テーブル!B3="交付申請",テーブル!B3="交付申請（２次以降）"),COUNTA(H23)&lt;&gt;1),"×",
IF(テーブル!B3="変更申請","○",
IF(テーブル!B3="実績報告","○"))))</f>
        <v>○</v>
      </c>
      <c r="P23" s="467" t="str">
        <f xml:space="preserve">
IF(AND(OR(テーブル!B3="交付申請",テーブル!B3="交付申請（２次以降）"),COUNTA(H23)=1),"適切に入力がされました。",
IF(AND(OR(テーブル!B3="交付申請",テーブル!B3="交付申請（２次以降）"),COUNTA(H23)&lt;&gt;1),"【要修正】預金口座種別を選択してください。",
IF(テーブル!B3="変更申請","○",
IF(テーブル!B3="実績報告","○"))))</f>
        <v>○</v>
      </c>
      <c r="Q23" s="468"/>
      <c r="R23" s="468"/>
      <c r="S23" s="468"/>
      <c r="T23" s="468"/>
      <c r="U23" s="468"/>
      <c r="V23" s="468"/>
      <c r="W23" s="468"/>
      <c r="X23" s="468"/>
      <c r="Y23" s="468"/>
      <c r="Z23" s="468"/>
      <c r="AA23" s="468"/>
      <c r="AB23" s="469"/>
      <c r="AC23" s="83"/>
      <c r="AD23" s="83"/>
      <c r="AE23" s="333" t="str">
        <f t="shared" si="1"/>
        <v/>
      </c>
      <c r="AF23" s="348" t="str">
        <f>ASC(H23)</f>
        <v/>
      </c>
      <c r="AL23" s="98">
        <v>1</v>
      </c>
    </row>
    <row r="24" spans="2:38" ht="24.95" hidden="1" customHeight="1" x14ac:dyDescent="0.4">
      <c r="B24" s="527"/>
      <c r="C24" s="455" t="s">
        <v>215</v>
      </c>
      <c r="D24" s="463"/>
      <c r="E24" s="463"/>
      <c r="F24" s="463"/>
      <c r="G24" s="464"/>
      <c r="H24" s="352"/>
      <c r="I24" s="353"/>
      <c r="J24" s="353"/>
      <c r="K24" s="353"/>
      <c r="L24" s="353"/>
      <c r="M24" s="353"/>
      <c r="N24" s="354"/>
      <c r="O24" s="86" t="str">
        <f xml:space="preserve">
IF(AND(OR(テーブル!B3="交付申請",テーブル!B3="交付申請（２次以降）"),COUNTA(H24:N24)=7),"○",
IF(AND(OR(テーブル!B3="交付申請",テーブル!B3="交付申請（２次以降）"),COUNTA(H24:N24)&lt;&gt;7),"×",
IF(テーブル!B3="変更申請","○",
IF(AND(テーブル!B3="実績報告","○",COUNTA(H24:N24)=7),"○",
IF(AND(テーブル!B3="実績報告","○",COUNTA(H24:N24)&lt;&gt;7),"○",)))))</f>
        <v>○</v>
      </c>
      <c r="P24" s="467" t="str">
        <f xml:space="preserve">
IF(AND(OR(テーブル!B3="交付申請",テーブル!B3="交付申請（２次以降）"),COUNTA(H24:N24)=7),"適切に入力がされました。",
IF(AND(OR(テーブル!B3="交付申請",テーブル!B3="交付申請（２次以降）"),COUNTA(H24:N24)&lt;&gt;7),"【要修正】振込先口座番号（７桁）を入力してください。（７桁以下の番号は先頭に「0」を入力。）",
IF(テーブル!B3="変更申請","－",
IF(テーブル!B3="実績報告","－"))))</f>
        <v>－</v>
      </c>
      <c r="Q24" s="468"/>
      <c r="R24" s="468"/>
      <c r="S24" s="468"/>
      <c r="T24" s="468"/>
      <c r="U24" s="468"/>
      <c r="V24" s="468"/>
      <c r="W24" s="468"/>
      <c r="X24" s="468"/>
      <c r="Y24" s="468"/>
      <c r="Z24" s="468"/>
      <c r="AA24" s="468"/>
      <c r="AB24" s="469"/>
      <c r="AC24" s="83"/>
      <c r="AD24" s="83"/>
      <c r="AE24" s="333" t="str">
        <f t="shared" si="1"/>
        <v/>
      </c>
      <c r="AF24" s="349" t="str">
        <f>ASC(H24&amp;I24&amp;J24&amp;K24&amp;L24&amp;M24&amp;N24)</f>
        <v/>
      </c>
      <c r="AL24" s="98">
        <v>2</v>
      </c>
    </row>
    <row r="25" spans="2:38" ht="24.95" hidden="1" customHeight="1" x14ac:dyDescent="0.4">
      <c r="B25" s="528"/>
      <c r="C25" s="455" t="s">
        <v>208</v>
      </c>
      <c r="D25" s="456"/>
      <c r="E25" s="456"/>
      <c r="F25" s="456"/>
      <c r="G25" s="457"/>
      <c r="H25" s="458"/>
      <c r="I25" s="459"/>
      <c r="J25" s="459"/>
      <c r="K25" s="459"/>
      <c r="L25" s="459"/>
      <c r="M25" s="459"/>
      <c r="N25" s="460"/>
      <c r="O25" s="86" t="str">
        <f xml:space="preserve">
IF(AND(OR(テーブル!B3="交付申請",テーブル!B3="交付申請（２次以降）"),COUNTA(H25)=1),"○",
IF(AND(OR(テーブル!B3="交付申請",テーブル!B3="交付申請（２次以降）"),COUNTA(H25)&lt;&gt;1),"×",
IF(テーブル!B3="変更申請","○",
IF(テーブル!B3="実績報告","○"))))</f>
        <v>○</v>
      </c>
      <c r="P25" s="440" t="str">
        <f xml:space="preserve">
IF(AND(OR(テーブル!B3="交付申請",テーブル!B3="交付申請（２次以降）"),COUNTA(H25)=1),"適切に入力がされました。",
IF(AND(OR(テーブル!B3="交付申請",テーブル!B3="交付申請（２次以降）"),COUNTA(H25)&lt;&gt;1),"【要修正】振込先口座の名義（半角ｶﾅ）を入力してください。",
IF(テーブル!B3="変更申請","－",
IF(テーブル!B3="実績報告","－"))))</f>
        <v>－</v>
      </c>
      <c r="Q25" s="461"/>
      <c r="R25" s="461"/>
      <c r="S25" s="461"/>
      <c r="T25" s="461"/>
      <c r="U25" s="461"/>
      <c r="V25" s="461"/>
      <c r="W25" s="461"/>
      <c r="X25" s="461"/>
      <c r="Y25" s="461"/>
      <c r="Z25" s="461"/>
      <c r="AA25" s="461"/>
      <c r="AB25" s="462"/>
      <c r="AC25" s="83"/>
      <c r="AD25" s="83"/>
      <c r="AE25" s="333" t="str">
        <f t="shared" si="1"/>
        <v/>
      </c>
      <c r="AF25" s="348" t="str">
        <f>ASC(H25)</f>
        <v/>
      </c>
    </row>
    <row r="26" spans="2:38" ht="99.95" hidden="1" customHeight="1" x14ac:dyDescent="0.4">
      <c r="B26" s="195" t="s">
        <v>212</v>
      </c>
      <c r="C26" s="449" t="s">
        <v>147</v>
      </c>
      <c r="D26" s="450"/>
      <c r="E26" s="450"/>
      <c r="F26" s="450"/>
      <c r="G26" s="450"/>
      <c r="H26" s="451" t="s">
        <v>148</v>
      </c>
      <c r="I26" s="452"/>
      <c r="J26" s="452"/>
      <c r="K26" s="452"/>
      <c r="L26" s="452"/>
      <c r="M26" s="452"/>
      <c r="N26" s="453"/>
      <c r="O26" s="86" t="str">
        <f>IF(H26=テーブル!C22,"○",IF(H26="","×",IF(H26=テーブル!C23,"×")))</f>
        <v>○</v>
      </c>
      <c r="P26" s="454" t="str">
        <f xml:space="preserve">
IF(H26=テーブル!C22,"適切に入力がされました。",
IF(H26="","【要修正】【下記いずれにも該当する場合、「申立てする」を選択してください。】
・補助を受ける経費について他の補助金等の交付を受けていないこと。
・本補助金により整備した設備は新型コロナウイルス感染症対策の目的以外に使用しないこと。
・本補助金の収入、支出等に係る証拠書類を５年間適切に整備保管すること。
・暴力団員又は暴力団関係者と実質を含めいかなる関係も有していないこと。",
IF(H26=テーブル!C23,"【申請する場合は要修正】
申立事項に該当しない申請者に対して交付を行うことはできません。")))</f>
        <v>適切に入力がされました。</v>
      </c>
      <c r="Q26" s="450"/>
      <c r="R26" s="450"/>
      <c r="S26" s="450"/>
      <c r="T26" s="450"/>
      <c r="U26" s="450"/>
      <c r="V26" s="450"/>
      <c r="W26" s="450"/>
      <c r="X26" s="450"/>
      <c r="Y26" s="450"/>
      <c r="Z26" s="450"/>
      <c r="AA26" s="450"/>
      <c r="AB26" s="450"/>
      <c r="AC26" s="83"/>
      <c r="AD26" s="83"/>
      <c r="AE26" s="333" t="str">
        <f>IF(O26="○","","申立事項/")</f>
        <v/>
      </c>
      <c r="AF26" s="103" t="s">
        <v>314</v>
      </c>
      <c r="AG26" s="262"/>
    </row>
    <row r="27" spans="2:38" ht="15" customHeight="1" x14ac:dyDescent="0.4">
      <c r="B27" s="83"/>
      <c r="C27" s="91"/>
      <c r="D27" s="330"/>
      <c r="E27" s="330"/>
      <c r="F27" s="330"/>
      <c r="G27" s="330"/>
      <c r="H27" s="330"/>
      <c r="I27" s="92"/>
      <c r="J27" s="92"/>
      <c r="K27" s="92"/>
      <c r="L27" s="92"/>
      <c r="M27" s="92"/>
      <c r="N27" s="92"/>
      <c r="O27" s="330"/>
      <c r="P27" s="93"/>
      <c r="Q27" s="94"/>
      <c r="R27" s="94"/>
      <c r="S27" s="94"/>
      <c r="T27" s="94"/>
      <c r="U27" s="94"/>
      <c r="V27" s="94"/>
      <c r="W27" s="94"/>
      <c r="X27" s="83"/>
      <c r="Y27" s="83"/>
      <c r="Z27" s="83"/>
      <c r="AA27" s="83"/>
      <c r="AB27" s="83"/>
      <c r="AC27" s="83"/>
      <c r="AD27" s="83"/>
      <c r="AE27" s="95"/>
    </row>
    <row r="28" spans="2:38" ht="39.950000000000003" customHeight="1" x14ac:dyDescent="0.4">
      <c r="C28" s="96" t="s">
        <v>163</v>
      </c>
      <c r="D28" s="518" t="s">
        <v>115</v>
      </c>
      <c r="E28" s="519"/>
      <c r="F28" s="97" t="str">
        <f>IF(COUNTIF(O3:O26,"×")&gt;=1,"×","○")</f>
        <v>×</v>
      </c>
      <c r="G28" s="454" t="str">
        <f>IF(F28="○","適切に入力がされました。","【要修正】次の項目が適切に入力されているかご確認ください→"&amp;AE3&amp;AE6&amp;AE7&amp;AE8&amp;AE9&amp;AE10&amp;AE11&amp;AE12&amp;AE13&amp;AE14&amp;AE15&amp;AE16&amp;AE17&amp;AE26&amp;AE18)</f>
        <v>【要修正】次の項目が適切に入力されているかご確認ください→法人・個人事業主の別/事業者名/代表者役職/代表者氏名/所在地/施設所在地/提出日/担当部署/担当者名/電話番号（担当直通）/Mailｱﾄﾞﾚｽ（担当直通）/既交付決定通知番号/</v>
      </c>
      <c r="H28" s="454"/>
      <c r="I28" s="454"/>
      <c r="J28" s="454"/>
      <c r="K28" s="454"/>
      <c r="L28" s="454"/>
      <c r="M28" s="454"/>
      <c r="N28" s="454"/>
      <c r="O28" s="454"/>
      <c r="P28" s="454"/>
      <c r="Q28" s="450"/>
      <c r="R28" s="450"/>
      <c r="S28" s="450"/>
      <c r="T28" s="450"/>
      <c r="U28" s="450"/>
      <c r="V28" s="450"/>
      <c r="W28" s="450"/>
      <c r="X28" s="450"/>
      <c r="Y28" s="450"/>
      <c r="Z28" s="450"/>
      <c r="AA28" s="450"/>
      <c r="AB28" s="450"/>
      <c r="AF28" s="98" t="str">
        <f>IF(COUNTA(H6,H7,H8,H9,H12,H14,H15,H16,H17)=9,"○","×")</f>
        <v>×</v>
      </c>
    </row>
    <row r="29" spans="2:38" ht="15" customHeight="1" x14ac:dyDescent="0.4">
      <c r="C29" s="99"/>
      <c r="D29" s="91"/>
      <c r="E29" s="330"/>
      <c r="F29" s="330"/>
      <c r="G29" s="100"/>
      <c r="H29" s="100"/>
      <c r="I29" s="100"/>
      <c r="J29" s="100"/>
      <c r="K29" s="100"/>
      <c r="L29" s="100"/>
      <c r="M29" s="100"/>
      <c r="N29" s="100"/>
      <c r="O29" s="100"/>
      <c r="P29" s="100"/>
      <c r="Q29" s="83"/>
      <c r="R29" s="83"/>
      <c r="S29" s="83"/>
      <c r="T29" s="83"/>
      <c r="U29" s="83"/>
      <c r="V29" s="83"/>
      <c r="W29" s="83"/>
      <c r="X29" s="83"/>
      <c r="Y29" s="83"/>
      <c r="Z29" s="83"/>
      <c r="AA29" s="83"/>
      <c r="AB29" s="83"/>
      <c r="AF29" s="98"/>
    </row>
    <row r="30" spans="2:38" ht="120" customHeight="1" x14ac:dyDescent="0.4">
      <c r="C30" s="477" t="s">
        <v>311</v>
      </c>
      <c r="D30" s="478"/>
      <c r="E30" s="478"/>
      <c r="F30" s="478"/>
      <c r="G30" s="478"/>
      <c r="H30" s="478"/>
      <c r="I30" s="478"/>
      <c r="J30" s="478"/>
      <c r="K30" s="478"/>
      <c r="L30" s="478"/>
      <c r="M30" s="478"/>
      <c r="N30" s="478"/>
      <c r="O30" s="478"/>
      <c r="P30" s="478"/>
      <c r="Q30" s="478"/>
      <c r="R30" s="478"/>
      <c r="S30" s="478"/>
      <c r="T30" s="478"/>
      <c r="U30" s="478"/>
      <c r="V30" s="478"/>
      <c r="W30" s="478"/>
      <c r="X30" s="478"/>
      <c r="Y30" s="478"/>
      <c r="Z30" s="478"/>
      <c r="AA30" s="478"/>
      <c r="AB30" s="478"/>
    </row>
    <row r="31" spans="2:38" ht="20.100000000000001" customHeight="1" x14ac:dyDescent="0.4">
      <c r="C31" s="101"/>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row>
    <row r="32" spans="2:38" ht="39.950000000000003" customHeight="1" x14ac:dyDescent="0.4">
      <c r="C32" s="101"/>
      <c r="D32" s="455" t="s">
        <v>145</v>
      </c>
      <c r="E32" s="511"/>
      <c r="F32" s="97" t="str">
        <f>IF(COUNTIF(O35:O43,"×")&gt;=1,"×","○")</f>
        <v>×</v>
      </c>
      <c r="G32" s="501" t="str">
        <f>IF(F32="○","適切に入力がされました。","【要修正】次の様式が適切に入力されているかご確認ください→"&amp;AE35&amp;AE36&amp;AE37&amp;AE38&amp;AE39&amp;AE40&amp;AE41&amp;AE42&amp;AE43)&amp;IF(COUNTIF(O40:O42,"○")=3,"明細シートがいずれも入力されていません。","")</f>
        <v>【要修正】次の様式が適切に入力されているかご確認ください→はじめに入力してください/請求書/様式３－２（額内訳書）/明細シートがいずれも入力されていません。</v>
      </c>
      <c r="H32" s="512"/>
      <c r="I32" s="512"/>
      <c r="J32" s="512"/>
      <c r="K32" s="512"/>
      <c r="L32" s="512"/>
      <c r="M32" s="512"/>
      <c r="N32" s="512"/>
      <c r="O32" s="512"/>
      <c r="P32" s="512"/>
      <c r="Q32" s="512"/>
      <c r="R32" s="512"/>
      <c r="S32" s="512"/>
      <c r="T32" s="512"/>
      <c r="U32" s="512"/>
      <c r="V32" s="512"/>
      <c r="W32" s="512"/>
      <c r="X32" s="512"/>
      <c r="Y32" s="512"/>
      <c r="Z32" s="512"/>
      <c r="AA32" s="512"/>
      <c r="AB32" s="513"/>
    </row>
    <row r="33" spans="2:31" ht="20.100000000000001" customHeight="1" x14ac:dyDescent="0.4">
      <c r="C33" s="101"/>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row>
    <row r="34" spans="2:31" ht="39.950000000000003" customHeight="1" x14ac:dyDescent="0.4">
      <c r="B34" s="99"/>
      <c r="C34" s="504" t="s">
        <v>134</v>
      </c>
      <c r="D34" s="505"/>
      <c r="E34" s="505"/>
      <c r="F34" s="505"/>
      <c r="G34" s="505"/>
      <c r="H34" s="505"/>
      <c r="I34" s="455" t="s">
        <v>140</v>
      </c>
      <c r="J34" s="456"/>
      <c r="K34" s="456"/>
      <c r="L34" s="456"/>
      <c r="M34" s="456"/>
      <c r="N34" s="462"/>
      <c r="O34" s="103" t="s">
        <v>114</v>
      </c>
      <c r="P34" s="498" t="s">
        <v>116</v>
      </c>
      <c r="Q34" s="499"/>
      <c r="R34" s="499"/>
      <c r="S34" s="499"/>
      <c r="T34" s="499"/>
      <c r="U34" s="499"/>
      <c r="V34" s="499"/>
      <c r="W34" s="499"/>
      <c r="X34" s="499"/>
      <c r="Y34" s="499"/>
      <c r="Z34" s="499"/>
      <c r="AA34" s="499"/>
      <c r="AB34" s="500"/>
      <c r="AC34" s="99"/>
      <c r="AD34" s="99"/>
    </row>
    <row r="35" spans="2:31" ht="50.1" customHeight="1" x14ac:dyDescent="0.4">
      <c r="B35" s="99"/>
      <c r="C35" s="506" t="s">
        <v>135</v>
      </c>
      <c r="D35" s="507"/>
      <c r="E35" s="507"/>
      <c r="F35" s="507"/>
      <c r="G35" s="507"/>
      <c r="H35" s="507"/>
      <c r="I35" s="443" t="s">
        <v>138</v>
      </c>
      <c r="J35" s="444"/>
      <c r="K35" s="444"/>
      <c r="L35" s="444"/>
      <c r="M35" s="444"/>
      <c r="N35" s="445"/>
      <c r="O35" s="86" t="str">
        <f>F28</f>
        <v>×</v>
      </c>
      <c r="P35" s="501" t="str">
        <f>G28</f>
        <v>【要修正】次の項目が適切に入力されているかご確認ください→法人・個人事業主の別/事業者名/代表者役職/代表者氏名/所在地/施設所在地/提出日/担当部署/担当者名/電話番号（担当直通）/Mailｱﾄﾞﾚｽ（担当直通）/既交付決定通知番号/</v>
      </c>
      <c r="Q35" s="502"/>
      <c r="R35" s="502"/>
      <c r="S35" s="502"/>
      <c r="T35" s="502"/>
      <c r="U35" s="502"/>
      <c r="V35" s="502"/>
      <c r="W35" s="502"/>
      <c r="X35" s="502"/>
      <c r="Y35" s="502"/>
      <c r="Z35" s="502"/>
      <c r="AA35" s="502"/>
      <c r="AB35" s="503"/>
      <c r="AC35" s="99"/>
      <c r="AD35" s="99"/>
      <c r="AE35" s="333" t="str">
        <f>IF(O35="×",C35&amp;"/","")</f>
        <v>はじめに入力してください/</v>
      </c>
    </row>
    <row r="36" spans="2:31" ht="39.950000000000003" customHeight="1" x14ac:dyDescent="0.4">
      <c r="B36" s="99"/>
      <c r="C36" s="454" t="str">
        <f xml:space="preserve">
IF(テーブル!B3="交付申請","振込先情報",
IF(テーブル!B3="交付申請（２次以降）","振込先情報",
IF(テーブル!B3="変更申請","　　　　　　　　－",
IF(テーブル!B3="実績報告","請求書"))))</f>
        <v>請求書</v>
      </c>
      <c r="D36" s="507"/>
      <c r="E36" s="507"/>
      <c r="F36" s="507"/>
      <c r="G36" s="507"/>
      <c r="H36" s="507"/>
      <c r="I36" s="443" t="str">
        <f xml:space="preserve">
IF(C36="振込先情報","【必須】",
IF(C36="　　　　　　　　－","－",
IF(C36="請求書","【必須】",
)))</f>
        <v>【必須】</v>
      </c>
      <c r="J36" s="444"/>
      <c r="K36" s="444"/>
      <c r="L36" s="444"/>
      <c r="M36" s="444"/>
      <c r="N36" s="445"/>
      <c r="O36" s="86" t="str">
        <f xml:space="preserve">
IF(C36="　　　　　　　　－","－",
IF(AND(C36="振込先情報",COUNTIF(O19:O25,"○")=7),"○",
IF(AND(C36="振込先情報",COUNTIF(O19:O25,"○")&lt;&gt;7),"×",
IF(C36="請求書",請求書!L33))
))</f>
        <v>×</v>
      </c>
      <c r="P36" s="501" t="str">
        <f xml:space="preserve">
IF(AND(C36="振込先情報",O36="○"),"適切に入力がされました。",
IF(AND(C36="振込先情報",O36="×"),"【要修正】本シートの振込先口座情報において次の項目が適切に入力されているか御確認ください→"&amp;AE19&amp;AE20&amp;AE21&amp;AE22&amp;AE23&amp;AE24&amp;AE25,
IF(AND(C36="請求書",O36="○"),"適切に入力がされました。",
IF(AND(C36="請求書",O36="×"),"【要修正】７桁の口座番号が正しく入力されているか御確認ください。",
IF(C36="　　　　　　　　－","　　　　　　　　　　　　　　　　　　　　　　　　－"
)))))</f>
        <v>【要修正】７桁の口座番号が正しく入力されているか御確認ください。</v>
      </c>
      <c r="Q36" s="502"/>
      <c r="R36" s="502"/>
      <c r="S36" s="502"/>
      <c r="T36" s="502"/>
      <c r="U36" s="502"/>
      <c r="V36" s="502"/>
      <c r="W36" s="502"/>
      <c r="X36" s="502"/>
      <c r="Y36" s="502"/>
      <c r="Z36" s="502"/>
      <c r="AA36" s="502"/>
      <c r="AB36" s="503"/>
      <c r="AC36" s="99"/>
      <c r="AD36" s="99"/>
      <c r="AE36" s="333" t="str">
        <f>IF(O36="×",C36&amp;"/","")</f>
        <v>請求書/</v>
      </c>
    </row>
    <row r="37" spans="2:31" ht="39.950000000000003" customHeight="1" x14ac:dyDescent="0.4">
      <c r="B37" s="99"/>
      <c r="C37" s="506" t="str">
        <f xml:space="preserve">
IF(OR(テーブル!B3="交付申請",テーブル!B3="交付申請（２次以降）"),"様式１（表紙）",
IF(テーブル!B3="変更申請","様式２（表紙）",
IF(テーブル!B3="実績報告","様式３（表紙）")))</f>
        <v>様式３（表紙）</v>
      </c>
      <c r="D37" s="507"/>
      <c r="E37" s="507"/>
      <c r="F37" s="507"/>
      <c r="G37" s="507"/>
      <c r="H37" s="507"/>
      <c r="I37" s="443" t="s">
        <v>138</v>
      </c>
      <c r="J37" s="444"/>
      <c r="K37" s="444"/>
      <c r="L37" s="444"/>
      <c r="M37" s="444"/>
      <c r="N37" s="445"/>
      <c r="O37" s="86" t="str">
        <f>O35</f>
        <v>×</v>
      </c>
      <c r="P37" s="501" t="str">
        <f>IF(O37="×","【要修正】様式１は入力項目がありませんが、「はじめに入力してください」が適切に入力されていないため正しく表示できていません。","適切に入力がされました。")</f>
        <v>【要修正】様式１は入力項目がありませんが、「はじめに入力してください」が適切に入力されていないため正しく表示できていません。</v>
      </c>
      <c r="Q37" s="502"/>
      <c r="R37" s="502"/>
      <c r="S37" s="502"/>
      <c r="T37" s="502"/>
      <c r="U37" s="502"/>
      <c r="V37" s="502"/>
      <c r="W37" s="502"/>
      <c r="X37" s="502"/>
      <c r="Y37" s="502"/>
      <c r="Z37" s="502"/>
      <c r="AA37" s="502"/>
      <c r="AB37" s="503"/>
      <c r="AC37" s="99"/>
      <c r="AD37" s="99"/>
      <c r="AE37" s="333"/>
    </row>
    <row r="38" spans="2:31" ht="39.950000000000003" customHeight="1" x14ac:dyDescent="0.4">
      <c r="B38" s="99"/>
      <c r="C38" s="454" t="str">
        <f xml:space="preserve">
IF(OR(テーブル!B3="交付申請",テーブル!B3="交付申請（２次以降）"),"様式１－１（経費書）",
IF(テーブル!B3="変更申請","様式１－１（経費書）",
IF(テーブル!B3="実績報告","様式３－１（経費書）")))</f>
        <v>様式３－１（経費書）</v>
      </c>
      <c r="D38" s="507"/>
      <c r="E38" s="507"/>
      <c r="F38" s="507"/>
      <c r="G38" s="507"/>
      <c r="H38" s="507"/>
      <c r="I38" s="443" t="s">
        <v>138</v>
      </c>
      <c r="J38" s="444"/>
      <c r="K38" s="444"/>
      <c r="L38" s="444"/>
      <c r="M38" s="444"/>
      <c r="N38" s="445"/>
      <c r="O38" s="86" t="s">
        <v>132</v>
      </c>
      <c r="P38" s="501" t="s">
        <v>141</v>
      </c>
      <c r="Q38" s="502"/>
      <c r="R38" s="502"/>
      <c r="S38" s="502"/>
      <c r="T38" s="502"/>
      <c r="U38" s="502"/>
      <c r="V38" s="502"/>
      <c r="W38" s="502"/>
      <c r="X38" s="502"/>
      <c r="Y38" s="502"/>
      <c r="Z38" s="502"/>
      <c r="AA38" s="502"/>
      <c r="AB38" s="503"/>
      <c r="AC38" s="99"/>
      <c r="AD38" s="99"/>
      <c r="AE38" s="333" t="str">
        <f t="shared" ref="AE38:AE43" si="3">IF(O38="×",C38&amp;"/","")</f>
        <v/>
      </c>
    </row>
    <row r="39" spans="2:31" ht="80.099999999999994" customHeight="1" x14ac:dyDescent="0.4">
      <c r="B39" s="99"/>
      <c r="C39" s="454" t="str">
        <f xml:space="preserve">
IF(OR(テーブル!B3="交付申請",テーブル!B3="交付申請（２次以降）"),"様式１－２（額内訳書）",
IF(テーブル!B3="変更申請","様式１－２（額内訳書）",
IF(テーブル!B3="実績報告","様式３－２（額内訳書）")))</f>
        <v>様式３－２（額内訳書）</v>
      </c>
      <c r="D39" s="507"/>
      <c r="E39" s="507"/>
      <c r="F39" s="507"/>
      <c r="G39" s="507"/>
      <c r="H39" s="507"/>
      <c r="I39" s="443" t="s">
        <v>138</v>
      </c>
      <c r="J39" s="444"/>
      <c r="K39" s="444"/>
      <c r="L39" s="444"/>
      <c r="M39" s="444"/>
      <c r="N39" s="445"/>
      <c r="O39" s="86" t="str">
        <f>額内訳書!AU2</f>
        <v>×</v>
      </c>
      <c r="P39" s="446" t="str">
        <f>IF(O39="×","【要修正】未入力の状態又は入力不十分の状態です。以下が適切に入力されているかご確認ください"&amp;CHAR(10)&amp;額内訳書!AW7&amp;額内訳書!AW8&amp;額内訳書!AW9&amp;額内訳書!AW10&amp;額内訳書!AW11&amp;額内訳書!AW12&amp;額内訳書!AW13&amp;額内訳書!AW14&amp;額内訳書!AW15&amp;額内訳書!AW16&amp;額内訳書!AW17,"適切に入力がされました。")</f>
        <v xml:space="preserve">【要修正】未入力の状態又は入力不十分の状態です。以下が適切に入力されているかご確認ください
</v>
      </c>
      <c r="Q39" s="520"/>
      <c r="R39" s="520"/>
      <c r="S39" s="520"/>
      <c r="T39" s="520"/>
      <c r="U39" s="520"/>
      <c r="V39" s="520"/>
      <c r="W39" s="520"/>
      <c r="X39" s="520"/>
      <c r="Y39" s="520"/>
      <c r="Z39" s="520"/>
      <c r="AA39" s="520"/>
      <c r="AB39" s="521"/>
      <c r="AC39" s="99"/>
      <c r="AD39" s="99"/>
      <c r="AE39" s="333" t="str">
        <f t="shared" si="3"/>
        <v>様式３－２（額内訳書）/</v>
      </c>
    </row>
    <row r="40" spans="2:31" ht="120" customHeight="1" x14ac:dyDescent="0.4">
      <c r="B40" s="99"/>
      <c r="C40" s="440" t="s">
        <v>317</v>
      </c>
      <c r="D40" s="441"/>
      <c r="E40" s="441"/>
      <c r="F40" s="441"/>
      <c r="G40" s="441"/>
      <c r="H40" s="442"/>
      <c r="I40" s="443" t="s">
        <v>138</v>
      </c>
      <c r="J40" s="444"/>
      <c r="K40" s="444"/>
      <c r="L40" s="444"/>
      <c r="M40" s="444"/>
      <c r="N40" s="445"/>
      <c r="O40" s="86" t="str">
        <f>'明細（空清機・パーテ・ベッド）'!BF3</f>
        <v>○</v>
      </c>
      <c r="P40" s="446" t="str">
        <f>"空気清浄機、パーテーション及び簡易ベッドについて助成申請する場合、それぞれの必要記載事項がいずれも適切に入力されていることが必要です。"&amp;CHAR(10)&amp;"申請する場合、それぞれの項目が未入力、入力不十分となっていないかご確認ください。"&amp;CHAR(10)&amp;
"☆【総合判定】"&amp;'明細（空清機・パーテ・ベッド）'!BF3&amp;
IF('明細（空清機・パーテ・ベッド）'!BF3="○","（申請しない場合は入力不要です。）",
IF('明細（空清機・パーテ・ベッド）'!BF3="×","（【要修正】入力が不十分な箇所があります。申請しない場合は全ての欄を空欄にしてください。）",
IF('明細（空清機・パーテ・ベッド）'!BF3="◎","（適切に入力がされました。）")))
&amp;CHAR(10)&amp;
"・【空気清浄機】　　判定："&amp;'明細（空清機・パーテ・ベッド）'!BG3&amp;
IF('明細（空清機・パーテ・ベッド）'!BG3="○","（申請しない場合は入力不要です。）",
IF('明細（空清機・パーテ・ベッド）'!BG3="×","（【要修正】入力が不十分な箇所があります。申請しない場合は全ての欄を空欄にしてください。）",
IF('明細（空清機・パーテ・ベッド）'!BG3="◎","（適切に入力がされました。）")))
&amp;CHAR(10)&amp;
"・【パーテーション】判定："&amp;'明細（空清機・パーテ・ベッド）'!BG4&amp;
IF('明細（空清機・パーテ・ベッド）'!BG4="○","（申請しない場合は入力不要です。）",
IF('明細（空清機・パーテ・ベッド）'!BG4="×","（【要修正】入力が不十分な箇所があります。申請しない場合は全ての欄を空欄にしてください。）",
IF('明細（空清機・パーテ・ベッド）'!BG4="◎","（適切に入力がされました。）")))
&amp;CHAR(10)&amp;
"・【簡易ベッド】　　判定："&amp;'明細（空清機・パーテ・ベッド）'!BG5&amp;
IF('明細（空清機・パーテ・ベッド）'!BG5="○","（申請しない場合は入力不要です。）",
IF('明細（空清機・パーテ・ベッド）'!BG5="×","（【要修正】入力が不十分な箇所があります。申請しない場合は全ての欄を空欄にしてください。）",
IF('明細（空清機・パーテ・ベッド）'!BG5="◎","（適切に入力がされました。）")))</f>
        <v>空気清浄機、パーテーション及び簡易ベッドについて助成申請する場合、それぞれの必要記載事項がいずれも適切に入力されていることが必要です。
申請する場合、それぞれの項目が未入力、入力不十分となっていないかご確認ください。
☆【総合判定】○（申請しない場合は入力不要です。）
・【空気清浄機】　　判定：○（申請しない場合は入力不要です。）
・【パーテーション】判定：○（申請しない場合は入力不要です。）
・【簡易ベッド】　　判定：○（申請しない場合は入力不要です。）</v>
      </c>
      <c r="Q40" s="447"/>
      <c r="R40" s="447"/>
      <c r="S40" s="447"/>
      <c r="T40" s="447"/>
      <c r="U40" s="447"/>
      <c r="V40" s="447"/>
      <c r="W40" s="447"/>
      <c r="X40" s="447"/>
      <c r="Y40" s="447"/>
      <c r="Z40" s="447"/>
      <c r="AA40" s="447"/>
      <c r="AB40" s="448"/>
      <c r="AC40" s="99"/>
      <c r="AD40" s="99"/>
      <c r="AE40" s="351" t="str">
        <f t="shared" si="3"/>
        <v/>
      </c>
    </row>
    <row r="41" spans="2:31" ht="99.95" customHeight="1" x14ac:dyDescent="0.4">
      <c r="B41" s="99"/>
      <c r="C41" s="506" t="s">
        <v>136</v>
      </c>
      <c r="D41" s="507"/>
      <c r="E41" s="507"/>
      <c r="F41" s="507"/>
      <c r="G41" s="507"/>
      <c r="H41" s="507"/>
      <c r="I41" s="522" t="s">
        <v>161</v>
      </c>
      <c r="J41" s="512"/>
      <c r="K41" s="512"/>
      <c r="L41" s="512"/>
      <c r="M41" s="512"/>
      <c r="N41" s="503"/>
      <c r="O41" s="86" t="str">
        <f>防護具明細!AN118</f>
        <v>○</v>
      </c>
      <c r="P41" s="501" t="str">
        <f>"個人防護具について助成申請する場合、「１．はじめに」及び「２．個人防護具情報」いずれも適切に入力されていることが必要です。"&amp;CHAR(10)&amp;"申請する場合、それぞれの項目が未入力、入力不十分となっていないかご確認ください。"&amp;CHAR(10)&amp;
"☆【総合判定】"&amp;防護具明細!AO118
&amp;CHAR(10)&amp;
IF(防護具明細!AM118="×","・【要修正】【１．はじめに】入力が不十分です。",
IF(防護具明細!AM118="○","・【１．はじめに】入力なし",
IF(防護具明細!AM118="◎","・【１．はじめに】適切に入力がされました。")))
&amp;CHAR(10)&amp;
IF(防護具明細!AM119="×","・【要修正】【２．個人防護具情報】入力が不十分な行があるため、シートを再度ご確認ください。",
IF(防護具明細!AM119="○","・【２．個人防護具情報】入力なし",
IF(防護具明細!AM119="◎","・【２．個人防護具情報】適切に入力がされました。")))</f>
        <v>個人防護具について助成申請する場合、「１．はじめに」及び「２．個人防護具情報」いずれも適切に入力されていることが必要です。
申請する場合、それぞれの項目が未入力、入力不十分となっていないかご確認ください。
☆【総合判定】個人防護具の補助申請を行わない場合は入力不要です。
・【１．はじめに】入力なし
・【２．個人防護具情報】入力なし</v>
      </c>
      <c r="Q41" s="502"/>
      <c r="R41" s="502"/>
      <c r="S41" s="502"/>
      <c r="T41" s="502"/>
      <c r="U41" s="502"/>
      <c r="V41" s="502"/>
      <c r="W41" s="502"/>
      <c r="X41" s="502"/>
      <c r="Y41" s="502"/>
      <c r="Z41" s="502"/>
      <c r="AA41" s="502"/>
      <c r="AB41" s="503"/>
      <c r="AC41" s="99"/>
      <c r="AD41" s="99"/>
      <c r="AE41" s="333" t="str">
        <f t="shared" si="3"/>
        <v/>
      </c>
    </row>
    <row r="42" spans="2:31" ht="120" customHeight="1" x14ac:dyDescent="0.4">
      <c r="B42" s="99"/>
      <c r="C42" s="506" t="s">
        <v>137</v>
      </c>
      <c r="D42" s="507"/>
      <c r="E42" s="507"/>
      <c r="F42" s="507"/>
      <c r="G42" s="507"/>
      <c r="H42" s="507"/>
      <c r="I42" s="522" t="s">
        <v>162</v>
      </c>
      <c r="J42" s="512"/>
      <c r="K42" s="512"/>
      <c r="L42" s="512"/>
      <c r="M42" s="512"/>
      <c r="N42" s="503"/>
      <c r="O42" s="86" t="str">
        <f>診療室明細!AI79</f>
        <v>○</v>
      </c>
      <c r="P42" s="501" t="str">
        <f>"簡易診療室の助成申請をする場合、「１．はじめに」、「２．整備方法」及び「３．簡易診療室情報」いずれも適切に入力されていることが必要です。"&amp;CHAR(10)&amp;"申請する場合、それぞれの項目が未入力、入力不十分となっていないかご確認ください。"&amp;CHAR(10)&amp;
"☆【総合判定】"&amp;診療室明細!AJ79
&amp;CHAR(10)&amp;
IF(診療室明細!AH79="×","・「１．はじめに」：【要修正】入力が不十分です。",
IF(診療室明細!AH79="○","・「１．はじめに」：入力なし",
IF(診療室明細!AH79="◎","・「１．はじめに」：適切に入力がされました。")))
&amp;CHAR(10)&amp;
IF(診療室明細!AH80="×","・「２．整備方法」：【要修正】入力が不十分です。",
IF(診療室明細!AH80="○","・「２．整備方法」：入力なし",
IF(診療室明細!AH80="◎","・「２．整備方法」：適切に入力がされました。")))
&amp;CHAR(10)&amp;
IF(診療室明細!AH81="×","・「３．簡易診療室情報」：【要修正】入力が不十分な行があるため、シートを再度ご確認ください。",
IF(診療室明細!AH81="○","・「３．簡易診療室情報」：入力なし",
IF(診療室明細!AH81="◎","・「３．簡易診療室情報」：適切に入力がされました。")))</f>
        <v>簡易診療室の助成申請をする場合、「１．はじめに」、「２．整備方法」及び「３．簡易診療室情報」いずれも適切に入力されていることが必要です。
申請する場合、それぞれの項目が未入力、入力不十分となっていないかご確認ください。
☆【総合判定】申請しない場合は入力不要です。
・「１．はじめに」：入力なし
・「２．整備方法」：入力なし
・「３．簡易診療室情報」：入力なし</v>
      </c>
      <c r="Q42" s="502"/>
      <c r="R42" s="502"/>
      <c r="S42" s="502"/>
      <c r="T42" s="502"/>
      <c r="U42" s="502"/>
      <c r="V42" s="502"/>
      <c r="W42" s="502"/>
      <c r="X42" s="502"/>
      <c r="Y42" s="502"/>
      <c r="Z42" s="502"/>
      <c r="AA42" s="502"/>
      <c r="AB42" s="503"/>
      <c r="AC42" s="99"/>
      <c r="AD42" s="99"/>
      <c r="AE42" s="333" t="str">
        <f t="shared" si="3"/>
        <v/>
      </c>
    </row>
    <row r="43" spans="2:31" ht="39.950000000000003" customHeight="1" x14ac:dyDescent="0.4">
      <c r="B43" s="99"/>
      <c r="C43" s="454" t="str">
        <f xml:space="preserve">
IF(OR(テーブル!B3="交付申請",テーブル!B3="交付申請（２次以降）"),"様式１－３（歳入歳出予算書抄本）",
IF(テーブル!B3="変更申請","様式１－３（歳入歳出予算書抄本）",
IF(テーブル!B3="実績報告","様式３－３"&amp;CHAR(10)&amp;"（歳入歳出決算書（見込書）抄本）")))</f>
        <v>様式３－３
（歳入歳出決算書（見込書）抄本）</v>
      </c>
      <c r="D43" s="523"/>
      <c r="E43" s="523"/>
      <c r="F43" s="523"/>
      <c r="G43" s="523"/>
      <c r="H43" s="523"/>
      <c r="I43" s="467" t="s">
        <v>139</v>
      </c>
      <c r="J43" s="517"/>
      <c r="K43" s="517"/>
      <c r="L43" s="517"/>
      <c r="M43" s="517"/>
      <c r="N43" s="462"/>
      <c r="O43" s="86" t="str">
        <f>歳入歳出抄本!Y11</f>
        <v>○</v>
      </c>
      <c r="P43" s="501" t="str">
        <f>歳入歳出抄本!Z11</f>
        <v>公立機関ではない場合、作成不要です。
（入力されていても特段問題はありません。）</v>
      </c>
      <c r="Q43" s="502"/>
      <c r="R43" s="502"/>
      <c r="S43" s="502"/>
      <c r="T43" s="502"/>
      <c r="U43" s="502"/>
      <c r="V43" s="502"/>
      <c r="W43" s="502"/>
      <c r="X43" s="502"/>
      <c r="Y43" s="502"/>
      <c r="Z43" s="502"/>
      <c r="AA43" s="502"/>
      <c r="AB43" s="503"/>
      <c r="AC43" s="99"/>
      <c r="AD43" s="99"/>
      <c r="AE43" s="333" t="str">
        <f t="shared" si="3"/>
        <v/>
      </c>
    </row>
  </sheetData>
  <sheetProtection algorithmName="SHA-512" hashValue="/P8935dFf8MwtHv1UtWWep62GXR8dOa9w0moJ15s9fF77r07Ez/Ujek+IJFlIJzUcBCQHWnr/LeYeilRXD6jrg==" saltValue="pi6UyPtgX9EbocvLPtU4EA==" spinCount="100000" sheet="1" objects="1" scenarios="1"/>
  <mergeCells count="113">
    <mergeCell ref="B2:G2"/>
    <mergeCell ref="B3:B18"/>
    <mergeCell ref="B19:B25"/>
    <mergeCell ref="C23:G23"/>
    <mergeCell ref="I23:N23"/>
    <mergeCell ref="P23:AB23"/>
    <mergeCell ref="C24:G24"/>
    <mergeCell ref="P24:AB24"/>
    <mergeCell ref="P2:AB2"/>
    <mergeCell ref="H5:N5"/>
    <mergeCell ref="H6:N6"/>
    <mergeCell ref="H11:N11"/>
    <mergeCell ref="H4:N4"/>
    <mergeCell ref="O3:O5"/>
    <mergeCell ref="P13:AB13"/>
    <mergeCell ref="P12:AB12"/>
    <mergeCell ref="P11:AB11"/>
    <mergeCell ref="H13:N13"/>
    <mergeCell ref="C16:G16"/>
    <mergeCell ref="C22:G22"/>
    <mergeCell ref="P21:AB21"/>
    <mergeCell ref="H7:N7"/>
    <mergeCell ref="I43:N43"/>
    <mergeCell ref="C36:H36"/>
    <mergeCell ref="H14:N14"/>
    <mergeCell ref="H15:N15"/>
    <mergeCell ref="P42:AB42"/>
    <mergeCell ref="P43:AB43"/>
    <mergeCell ref="D28:E28"/>
    <mergeCell ref="P36:AB36"/>
    <mergeCell ref="P37:AB37"/>
    <mergeCell ref="P38:AB38"/>
    <mergeCell ref="P39:AB39"/>
    <mergeCell ref="P41:AB41"/>
    <mergeCell ref="I36:N36"/>
    <mergeCell ref="I37:N37"/>
    <mergeCell ref="I38:N38"/>
    <mergeCell ref="I39:N39"/>
    <mergeCell ref="I41:N41"/>
    <mergeCell ref="I42:N42"/>
    <mergeCell ref="C43:H43"/>
    <mergeCell ref="C42:H42"/>
    <mergeCell ref="C37:H37"/>
    <mergeCell ref="C38:H38"/>
    <mergeCell ref="C39:H39"/>
    <mergeCell ref="C41:H41"/>
    <mergeCell ref="AE3:AE5"/>
    <mergeCell ref="G28:AB28"/>
    <mergeCell ref="P34:AB34"/>
    <mergeCell ref="P35:AB35"/>
    <mergeCell ref="I34:N34"/>
    <mergeCell ref="I35:N35"/>
    <mergeCell ref="C34:H34"/>
    <mergeCell ref="C35:H35"/>
    <mergeCell ref="C17:G17"/>
    <mergeCell ref="H8:N8"/>
    <mergeCell ref="H9:N9"/>
    <mergeCell ref="H10:N10"/>
    <mergeCell ref="C14:G14"/>
    <mergeCell ref="C15:G15"/>
    <mergeCell ref="D32:E32"/>
    <mergeCell ref="G32:AB32"/>
    <mergeCell ref="L18:M18"/>
    <mergeCell ref="H18:K18"/>
    <mergeCell ref="C19:G19"/>
    <mergeCell ref="C1:AB1"/>
    <mergeCell ref="C30:AB30"/>
    <mergeCell ref="P3:AB5"/>
    <mergeCell ref="P14:AB14"/>
    <mergeCell ref="P15:AB15"/>
    <mergeCell ref="P16:AB16"/>
    <mergeCell ref="P17:AB17"/>
    <mergeCell ref="P10:AB10"/>
    <mergeCell ref="P9:AB9"/>
    <mergeCell ref="P8:AB8"/>
    <mergeCell ref="P7:AB7"/>
    <mergeCell ref="P6:AB6"/>
    <mergeCell ref="H17:N17"/>
    <mergeCell ref="H2:N2"/>
    <mergeCell ref="C3:G5"/>
    <mergeCell ref="C6:G6"/>
    <mergeCell ref="C7:G7"/>
    <mergeCell ref="C8:G8"/>
    <mergeCell ref="C9:G9"/>
    <mergeCell ref="C10:G10"/>
    <mergeCell ref="C11:G11"/>
    <mergeCell ref="C12:G12"/>
    <mergeCell ref="C13:G13"/>
    <mergeCell ref="H3:N3"/>
    <mergeCell ref="AF3:AF5"/>
    <mergeCell ref="C40:H40"/>
    <mergeCell ref="I40:N40"/>
    <mergeCell ref="P40:AB40"/>
    <mergeCell ref="C26:G26"/>
    <mergeCell ref="H26:N26"/>
    <mergeCell ref="P26:AB26"/>
    <mergeCell ref="C18:G18"/>
    <mergeCell ref="C25:G25"/>
    <mergeCell ref="H25:N25"/>
    <mergeCell ref="P18:AB18"/>
    <mergeCell ref="P25:AB25"/>
    <mergeCell ref="L19:N19"/>
    <mergeCell ref="K21:N21"/>
    <mergeCell ref="H22:N22"/>
    <mergeCell ref="P20:AB20"/>
    <mergeCell ref="P22:AB22"/>
    <mergeCell ref="P19:AB19"/>
    <mergeCell ref="C20:G20"/>
    <mergeCell ref="H20:N20"/>
    <mergeCell ref="C21:G21"/>
    <mergeCell ref="H16:I16"/>
    <mergeCell ref="J16:K16"/>
    <mergeCell ref="L16:M16"/>
  </mergeCells>
  <phoneticPr fontId="1"/>
  <conditionalFormatting sqref="O3:O27">
    <cfRule type="containsText" dxfId="50" priority="10" operator="containsText" text="×">
      <formula>NOT(ISERROR(SEARCH("×",O3)))</formula>
    </cfRule>
    <cfRule type="containsText" dxfId="49" priority="12" operator="containsText" text="×">
      <formula>NOT(ISERROR(SEARCH("×",O3)))</formula>
    </cfRule>
  </conditionalFormatting>
  <conditionalFormatting sqref="P13 P3:W12 P27:W27 P14:W17 P18:P26">
    <cfRule type="containsText" dxfId="48" priority="11" operator="containsText" text="要修正">
      <formula>NOT(ISERROR(SEARCH("要修正",P3)))</formula>
    </cfRule>
  </conditionalFormatting>
  <conditionalFormatting sqref="F28">
    <cfRule type="containsText" dxfId="47" priority="9" operator="containsText" text="×">
      <formula>NOT(ISERROR(SEARCH("×",F28)))</formula>
    </cfRule>
  </conditionalFormatting>
  <conditionalFormatting sqref="G28:AB28">
    <cfRule type="containsText" dxfId="46" priority="8" operator="containsText" text="要修正">
      <formula>NOT(ISERROR(SEARCH("要修正",G28)))</formula>
    </cfRule>
  </conditionalFormatting>
  <conditionalFormatting sqref="O35:O43">
    <cfRule type="containsText" dxfId="45" priority="7" operator="containsText" text="×">
      <formula>NOT(ISERROR(SEARCH("×",O35)))</formula>
    </cfRule>
  </conditionalFormatting>
  <conditionalFormatting sqref="P35:AB39 P41:AB43 P40">
    <cfRule type="containsText" dxfId="44" priority="5" operator="containsText" text="要修正">
      <formula>NOT(ISERROR(SEARCH("要修正",P35)))</formula>
    </cfRule>
    <cfRule type="cellIs" dxfId="43" priority="6" operator="equal">
      <formula>"要修正"</formula>
    </cfRule>
  </conditionalFormatting>
  <conditionalFormatting sqref="O42">
    <cfRule type="containsText" dxfId="42" priority="4" operator="containsText" text="×">
      <formula>NOT(ISERROR(SEARCH("×",O42)))</formula>
    </cfRule>
  </conditionalFormatting>
  <conditionalFormatting sqref="P42:AB42">
    <cfRule type="containsText" dxfId="41" priority="3" operator="containsText" text="要修正">
      <formula>NOT(ISERROR(SEARCH("要修正",P42)))</formula>
    </cfRule>
  </conditionalFormatting>
  <conditionalFormatting sqref="F32">
    <cfRule type="containsText" dxfId="40" priority="2" operator="containsText" text="×">
      <formula>NOT(ISERROR(SEARCH("×",F32)))</formula>
    </cfRule>
  </conditionalFormatting>
  <conditionalFormatting sqref="G32:AB32">
    <cfRule type="containsText" dxfId="39" priority="1" operator="containsText" text="要修正">
      <formula>NOT(ISERROR(SEARCH("要修正",G32)))</formula>
    </cfRule>
  </conditionalFormatting>
  <dataValidations count="3">
    <dataValidation type="list" allowBlank="1" showInputMessage="1" showErrorMessage="1" sqref="H23" xr:uid="{00000000-0002-0000-0100-000000000000}">
      <formula1>$AL$23:$AL$24</formula1>
    </dataValidation>
    <dataValidation type="textLength" imeMode="halfKatakana" allowBlank="1" showInputMessage="1" showErrorMessage="1" errorTitle="入力した字数が多すぎます" error="振込先口座のｶﾅ名義は30字以内で入力してください。" sqref="H25:N25" xr:uid="{00000000-0002-0000-0100-000001000000}">
      <formula1>1</formula1>
      <formula2>30</formula2>
    </dataValidation>
    <dataValidation imeMode="halfAlpha" allowBlank="1" showInputMessage="1" showErrorMessage="1" sqref="H16:M16" xr:uid="{00000000-0002-0000-0100-000002000000}"/>
  </dataValidations>
  <pageMargins left="0.7" right="0.7" top="0.75" bottom="0.75" header="0.3" footer="0.3"/>
  <pageSetup paperSize="9" scale="47" orientation="portrait" r:id="rId1"/>
  <rowBreaks count="1" manualBreakCount="1">
    <brk id="12" max="16383" man="1"/>
  </rowBreaks>
  <colBreaks count="1" manualBreakCount="1">
    <brk id="3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7</xdr:col>
                    <xdr:colOff>85725</xdr:colOff>
                    <xdr:row>2</xdr:row>
                    <xdr:rowOff>57150</xdr:rowOff>
                  </from>
                  <to>
                    <xdr:col>7</xdr:col>
                    <xdr:colOff>333375</xdr:colOff>
                    <xdr:row>2</xdr:row>
                    <xdr:rowOff>266700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7</xdr:col>
                    <xdr:colOff>85725</xdr:colOff>
                    <xdr:row>3</xdr:row>
                    <xdr:rowOff>76200</xdr:rowOff>
                  </from>
                  <to>
                    <xdr:col>7</xdr:col>
                    <xdr:colOff>333375</xdr:colOff>
                    <xdr:row>3</xdr:row>
                    <xdr:rowOff>304800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7</xdr:col>
                    <xdr:colOff>85725</xdr:colOff>
                    <xdr:row>4</xdr:row>
                    <xdr:rowOff>38100</xdr:rowOff>
                  </from>
                  <to>
                    <xdr:col>7</xdr:col>
                    <xdr:colOff>428625</xdr:colOff>
                    <xdr:row>4</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4000000}">
          <x14:formula1>
            <xm:f>テーブル!$C$19:$C$20</xm:f>
          </x14:formula1>
          <xm:sqref>I12</xm:sqref>
        </x14:dataValidation>
        <x14:dataValidation type="list" allowBlank="1" showInputMessage="1" showErrorMessage="1" xr:uid="{00000000-0002-0000-0100-000005000000}">
          <x14:formula1>
            <xm:f>テーブル!$C$22:$C$23</xm:f>
          </x14:formula1>
          <xm:sqref>H26:N26</xm:sqref>
        </x14:dataValidation>
        <x14:dataValidation type="list" allowBlank="1" showInputMessage="1" showErrorMessage="1" xr:uid="{00000000-0002-0000-0100-000003000000}">
          <x14:formula1>
            <xm:f>リスト!$A$3:$A$653</xm:f>
          </x14:formula1>
          <xm:sqref>L18:M18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J55"/>
  <sheetViews>
    <sheetView showGridLines="0" view="pageBreakPreview" topLeftCell="A16" zoomScale="80" zoomScaleNormal="100" zoomScaleSheetLayoutView="80" workbookViewId="0">
      <selection activeCell="G23" sqref="G23"/>
    </sheetView>
  </sheetViews>
  <sheetFormatPr defaultColWidth="9" defaultRowHeight="18" x14ac:dyDescent="0.4"/>
  <cols>
    <col min="1" max="36" width="3.625" style="105" customWidth="1"/>
    <col min="37" max="16384" width="9" style="105"/>
  </cols>
  <sheetData>
    <row r="1" spans="1:36" x14ac:dyDescent="0.4">
      <c r="A1" s="105">
        <v>1</v>
      </c>
      <c r="B1" s="105">
        <v>2</v>
      </c>
      <c r="C1" s="105">
        <v>3</v>
      </c>
      <c r="D1" s="105">
        <v>4</v>
      </c>
      <c r="E1" s="105">
        <v>5</v>
      </c>
      <c r="F1" s="105">
        <v>6</v>
      </c>
      <c r="G1" s="105">
        <v>7</v>
      </c>
      <c r="H1" s="105">
        <v>8</v>
      </c>
      <c r="I1" s="105">
        <v>9</v>
      </c>
      <c r="J1" s="105">
        <v>10</v>
      </c>
      <c r="K1" s="105">
        <v>11</v>
      </c>
      <c r="L1" s="105">
        <v>12</v>
      </c>
      <c r="M1" s="105">
        <v>13</v>
      </c>
      <c r="N1" s="105">
        <v>14</v>
      </c>
      <c r="O1" s="105">
        <v>15</v>
      </c>
      <c r="P1" s="105">
        <v>16</v>
      </c>
      <c r="Q1" s="105">
        <v>17</v>
      </c>
      <c r="R1" s="105">
        <v>18</v>
      </c>
      <c r="S1" s="105">
        <v>19</v>
      </c>
      <c r="T1" s="105">
        <v>20</v>
      </c>
      <c r="U1" s="105">
        <v>21</v>
      </c>
      <c r="V1" s="105">
        <v>22</v>
      </c>
      <c r="W1" s="105">
        <v>23</v>
      </c>
      <c r="X1" s="105">
        <v>24</v>
      </c>
      <c r="Y1" s="105">
        <v>25</v>
      </c>
      <c r="Z1" s="105">
        <v>26</v>
      </c>
      <c r="AA1" s="105">
        <v>27</v>
      </c>
      <c r="AB1" s="105">
        <v>28</v>
      </c>
      <c r="AC1" s="105">
        <v>29</v>
      </c>
      <c r="AD1" s="105">
        <v>30</v>
      </c>
      <c r="AE1" s="105">
        <v>31</v>
      </c>
      <c r="AF1" s="105">
        <v>32</v>
      </c>
      <c r="AG1" s="105">
        <v>33</v>
      </c>
      <c r="AH1" s="105">
        <v>34</v>
      </c>
      <c r="AI1" s="105">
        <v>35</v>
      </c>
      <c r="AJ1" s="105">
        <v>36</v>
      </c>
    </row>
    <row r="2" spans="1:36" s="194" customFormat="1" ht="24" x14ac:dyDescent="0.35">
      <c r="A2" s="66"/>
      <c r="B2" s="67"/>
      <c r="C2" s="68"/>
      <c r="D2" s="69"/>
      <c r="E2" s="69"/>
      <c r="F2" s="69"/>
      <c r="G2" s="69"/>
      <c r="H2" s="69"/>
      <c r="I2" s="69"/>
      <c r="J2" s="69"/>
      <c r="K2" s="69"/>
      <c r="L2" s="69"/>
      <c r="M2" s="69"/>
      <c r="N2" s="69"/>
      <c r="O2" s="69"/>
      <c r="P2" s="69"/>
      <c r="Q2" s="69"/>
      <c r="R2" s="69"/>
      <c r="S2" s="69"/>
      <c r="T2" s="69"/>
      <c r="U2" s="69"/>
      <c r="V2" s="69"/>
      <c r="W2" s="69"/>
      <c r="X2" s="69"/>
      <c r="Y2" s="69"/>
      <c r="Z2" s="69"/>
      <c r="AA2" s="69"/>
      <c r="AB2" s="540" t="str">
        <f>"《２次募集》"&amp;表紙!AN53</f>
        <v>《２次募集》</v>
      </c>
      <c r="AC2" s="541"/>
      <c r="AD2" s="541"/>
      <c r="AE2" s="541"/>
      <c r="AF2" s="541"/>
      <c r="AG2" s="541"/>
      <c r="AH2" s="541"/>
      <c r="AI2" s="541"/>
      <c r="AJ2" s="541"/>
    </row>
    <row r="3" spans="1:36" s="194" customFormat="1" x14ac:dyDescent="0.35">
      <c r="A3" s="550" t="s">
        <v>106</v>
      </c>
      <c r="B3" s="551"/>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551"/>
      <c r="AJ3" s="551"/>
    </row>
    <row r="4" spans="1:36" s="194" customFormat="1" x14ac:dyDescent="0.35">
      <c r="A4" s="550"/>
      <c r="B4" s="551"/>
      <c r="C4" s="551"/>
      <c r="D4" s="551"/>
      <c r="E4" s="551"/>
      <c r="F4" s="551"/>
      <c r="G4" s="551"/>
      <c r="H4" s="551"/>
      <c r="I4" s="551"/>
      <c r="J4" s="551"/>
      <c r="K4" s="551"/>
      <c r="L4" s="551"/>
      <c r="M4" s="551"/>
      <c r="N4" s="551"/>
      <c r="O4" s="551"/>
      <c r="P4" s="551"/>
      <c r="Q4" s="551"/>
      <c r="R4" s="551"/>
      <c r="S4" s="551"/>
      <c r="T4" s="551"/>
      <c r="U4" s="551"/>
      <c r="V4" s="551"/>
      <c r="W4" s="551"/>
      <c r="X4" s="551"/>
      <c r="Y4" s="551"/>
      <c r="Z4" s="551"/>
      <c r="AA4" s="551"/>
      <c r="AB4" s="551"/>
      <c r="AC4" s="551"/>
      <c r="AD4" s="551"/>
      <c r="AE4" s="551"/>
      <c r="AF4" s="551"/>
      <c r="AG4" s="551"/>
      <c r="AH4" s="551"/>
      <c r="AI4" s="551"/>
      <c r="AJ4" s="551"/>
    </row>
    <row r="5" spans="1:36" s="194" customFormat="1" x14ac:dyDescent="0.35">
      <c r="A5" s="551"/>
      <c r="B5" s="551"/>
      <c r="C5" s="551"/>
      <c r="D5" s="551"/>
      <c r="E5" s="551"/>
      <c r="F5" s="551"/>
      <c r="G5" s="551"/>
      <c r="H5" s="551"/>
      <c r="I5" s="551"/>
      <c r="J5" s="551"/>
      <c r="K5" s="551"/>
      <c r="L5" s="551"/>
      <c r="M5" s="551"/>
      <c r="N5" s="551"/>
      <c r="O5" s="551"/>
      <c r="P5" s="551"/>
      <c r="Q5" s="551"/>
      <c r="R5" s="551"/>
      <c r="S5" s="551"/>
      <c r="T5" s="551"/>
      <c r="U5" s="551"/>
      <c r="V5" s="551"/>
      <c r="W5" s="551"/>
      <c r="X5" s="551"/>
      <c r="Y5" s="551"/>
      <c r="Z5" s="551"/>
      <c r="AA5" s="551"/>
      <c r="AB5" s="551"/>
      <c r="AC5" s="551"/>
      <c r="AD5" s="551"/>
      <c r="AE5" s="551"/>
      <c r="AF5" s="551"/>
      <c r="AG5" s="551"/>
      <c r="AH5" s="551"/>
      <c r="AI5" s="551"/>
      <c r="AJ5" s="551"/>
    </row>
    <row r="6" spans="1:36" s="194" customFormat="1" x14ac:dyDescent="0.35"/>
    <row r="7" spans="1:36" s="194" customFormat="1" x14ac:dyDescent="0.35">
      <c r="N7" s="547" t="str">
        <f>表紙!I9</f>
        <v>補助事業者名</v>
      </c>
      <c r="O7" s="547"/>
      <c r="P7" s="547"/>
      <c r="Q7" s="547"/>
      <c r="R7" s="547"/>
      <c r="S7" s="552" t="str">
        <f>表紙!L9</f>
        <v/>
      </c>
      <c r="T7" s="552"/>
      <c r="U7" s="552"/>
      <c r="V7" s="552"/>
      <c r="W7" s="552"/>
      <c r="X7" s="552"/>
      <c r="Y7" s="552"/>
      <c r="Z7" s="552"/>
      <c r="AA7" s="552"/>
      <c r="AB7" s="552"/>
      <c r="AC7" s="552"/>
      <c r="AD7" s="552"/>
      <c r="AE7" s="552"/>
      <c r="AF7" s="552"/>
      <c r="AG7" s="552"/>
      <c r="AH7" s="552"/>
      <c r="AI7" s="552"/>
      <c r="AJ7" s="552"/>
    </row>
    <row r="8" spans="1:36" s="194" customFormat="1" x14ac:dyDescent="0.35">
      <c r="N8" s="547"/>
      <c r="O8" s="547"/>
      <c r="P8" s="547"/>
      <c r="Q8" s="547"/>
      <c r="R8" s="547"/>
      <c r="S8" s="552"/>
      <c r="T8" s="552"/>
      <c r="U8" s="552"/>
      <c r="V8" s="552"/>
      <c r="W8" s="552"/>
      <c r="X8" s="552"/>
      <c r="Y8" s="552"/>
      <c r="Z8" s="552"/>
      <c r="AA8" s="552"/>
      <c r="AB8" s="552"/>
      <c r="AC8" s="552"/>
      <c r="AD8" s="552"/>
      <c r="AE8" s="552"/>
      <c r="AF8" s="552"/>
      <c r="AG8" s="552"/>
      <c r="AH8" s="552"/>
      <c r="AI8" s="552"/>
      <c r="AJ8" s="552"/>
    </row>
    <row r="9" spans="1:36" s="194" customFormat="1" x14ac:dyDescent="0.35">
      <c r="N9" s="547" t="str">
        <f>表紙!I8</f>
        <v>所　  在 　 地</v>
      </c>
      <c r="O9" s="547"/>
      <c r="P9" s="547"/>
      <c r="Q9" s="547"/>
      <c r="R9" s="547"/>
      <c r="S9" s="552" t="str">
        <f>表紙!L8</f>
        <v/>
      </c>
      <c r="T9" s="552"/>
      <c r="U9" s="552"/>
      <c r="V9" s="552"/>
      <c r="W9" s="552"/>
      <c r="X9" s="552"/>
      <c r="Y9" s="552"/>
      <c r="Z9" s="552"/>
      <c r="AA9" s="552"/>
      <c r="AB9" s="552"/>
      <c r="AC9" s="552"/>
      <c r="AD9" s="552"/>
      <c r="AE9" s="552"/>
      <c r="AF9" s="552"/>
      <c r="AG9" s="552"/>
      <c r="AH9" s="552"/>
      <c r="AI9" s="552"/>
      <c r="AJ9" s="552"/>
    </row>
    <row r="10" spans="1:36" s="194" customFormat="1" x14ac:dyDescent="0.35">
      <c r="N10" s="547"/>
      <c r="O10" s="547"/>
      <c r="P10" s="547"/>
      <c r="Q10" s="547"/>
      <c r="R10" s="547"/>
      <c r="S10" s="552"/>
      <c r="T10" s="552"/>
      <c r="U10" s="552"/>
      <c r="V10" s="552"/>
      <c r="W10" s="552"/>
      <c r="X10" s="552"/>
      <c r="Y10" s="552"/>
      <c r="Z10" s="552"/>
      <c r="AA10" s="552"/>
      <c r="AB10" s="552"/>
      <c r="AC10" s="552"/>
      <c r="AD10" s="552"/>
      <c r="AE10" s="552"/>
      <c r="AF10" s="552"/>
      <c r="AG10" s="552"/>
      <c r="AH10" s="552"/>
      <c r="AI10" s="552"/>
      <c r="AJ10" s="552"/>
    </row>
    <row r="11" spans="1:36" s="194" customFormat="1" x14ac:dyDescent="0.35">
      <c r="N11" s="547" t="str">
        <f>表紙!I10</f>
        <v>代表者職氏名</v>
      </c>
      <c r="O11" s="547"/>
      <c r="P11" s="547"/>
      <c r="Q11" s="547"/>
      <c r="R11" s="547"/>
      <c r="S11" s="555" t="str">
        <f>表紙!L10</f>
        <v>　</v>
      </c>
      <c r="T11" s="556"/>
      <c r="U11" s="556"/>
      <c r="V11" s="556"/>
      <c r="W11" s="556"/>
      <c r="X11" s="557"/>
      <c r="Y11" s="557"/>
      <c r="Z11" s="557"/>
      <c r="AA11" s="557"/>
      <c r="AB11" s="557"/>
      <c r="AC11" s="557"/>
      <c r="AD11" s="557"/>
      <c r="AE11" s="557"/>
      <c r="AF11" s="557"/>
      <c r="AG11" s="557"/>
      <c r="AH11" s="557"/>
      <c r="AI11" s="557"/>
      <c r="AJ11" s="558"/>
    </row>
    <row r="12" spans="1:36" s="194" customFormat="1" x14ac:dyDescent="0.35">
      <c r="N12" s="547"/>
      <c r="O12" s="547"/>
      <c r="P12" s="547"/>
      <c r="Q12" s="547"/>
      <c r="R12" s="547"/>
      <c r="S12" s="559"/>
      <c r="T12" s="560"/>
      <c r="U12" s="560"/>
      <c r="V12" s="560"/>
      <c r="W12" s="560"/>
      <c r="X12" s="561"/>
      <c r="Y12" s="561"/>
      <c r="Z12" s="561"/>
      <c r="AA12" s="561"/>
      <c r="AB12" s="561"/>
      <c r="AC12" s="561"/>
      <c r="AD12" s="561"/>
      <c r="AE12" s="561"/>
      <c r="AF12" s="561"/>
      <c r="AG12" s="561"/>
      <c r="AH12" s="561"/>
      <c r="AI12" s="561"/>
      <c r="AJ12" s="562"/>
    </row>
    <row r="13" spans="1:36" s="194" customFormat="1" x14ac:dyDescent="0.35">
      <c r="N13" s="547" t="s">
        <v>92</v>
      </c>
      <c r="O13" s="547"/>
      <c r="P13" s="547"/>
      <c r="Q13" s="547"/>
      <c r="R13" s="547"/>
      <c r="S13" s="548" t="s">
        <v>91</v>
      </c>
      <c r="T13" s="548"/>
      <c r="U13" s="548"/>
      <c r="V13" s="548"/>
      <c r="W13" s="549" t="str">
        <f>表紙!L44</f>
        <v/>
      </c>
      <c r="X13" s="549"/>
      <c r="Y13" s="549"/>
      <c r="Z13" s="549"/>
      <c r="AA13" s="549"/>
      <c r="AB13" s="549"/>
      <c r="AC13" s="549"/>
      <c r="AD13" s="549"/>
      <c r="AE13" s="549"/>
      <c r="AF13" s="549"/>
      <c r="AG13" s="549"/>
      <c r="AH13" s="549"/>
      <c r="AI13" s="549"/>
      <c r="AJ13" s="549"/>
    </row>
    <row r="14" spans="1:36" s="194" customFormat="1" x14ac:dyDescent="0.35">
      <c r="N14" s="547"/>
      <c r="O14" s="547"/>
      <c r="P14" s="547"/>
      <c r="Q14" s="547"/>
      <c r="R14" s="547"/>
      <c r="S14" s="548"/>
      <c r="T14" s="548"/>
      <c r="U14" s="548"/>
      <c r="V14" s="548"/>
      <c r="W14" s="549"/>
      <c r="X14" s="549"/>
      <c r="Y14" s="549"/>
      <c r="Z14" s="549"/>
      <c r="AA14" s="549"/>
      <c r="AB14" s="549"/>
      <c r="AC14" s="549"/>
      <c r="AD14" s="549"/>
      <c r="AE14" s="549"/>
      <c r="AF14" s="549"/>
      <c r="AG14" s="549"/>
      <c r="AH14" s="549"/>
      <c r="AI14" s="549"/>
      <c r="AJ14" s="549"/>
    </row>
    <row r="15" spans="1:36" s="194" customFormat="1" x14ac:dyDescent="0.35">
      <c r="N15" s="547"/>
      <c r="O15" s="547"/>
      <c r="P15" s="547"/>
      <c r="Q15" s="547"/>
      <c r="R15" s="547"/>
      <c r="S15" s="548" t="s">
        <v>93</v>
      </c>
      <c r="T15" s="548"/>
      <c r="U15" s="548"/>
      <c r="V15" s="548"/>
      <c r="W15" s="549" t="str">
        <f>表紙!L45</f>
        <v/>
      </c>
      <c r="X15" s="549"/>
      <c r="Y15" s="549"/>
      <c r="Z15" s="549"/>
      <c r="AA15" s="549"/>
      <c r="AB15" s="549"/>
      <c r="AC15" s="549"/>
      <c r="AD15" s="549"/>
      <c r="AE15" s="549"/>
      <c r="AF15" s="549"/>
      <c r="AG15" s="549"/>
      <c r="AH15" s="549"/>
      <c r="AI15" s="549"/>
      <c r="AJ15" s="549"/>
    </row>
    <row r="16" spans="1:36" s="194" customFormat="1" x14ac:dyDescent="0.35">
      <c r="N16" s="547"/>
      <c r="O16" s="547"/>
      <c r="P16" s="547"/>
      <c r="Q16" s="547"/>
      <c r="R16" s="547"/>
      <c r="S16" s="548"/>
      <c r="T16" s="548"/>
      <c r="U16" s="548"/>
      <c r="V16" s="548"/>
      <c r="W16" s="549"/>
      <c r="X16" s="549"/>
      <c r="Y16" s="549"/>
      <c r="Z16" s="549"/>
      <c r="AA16" s="549"/>
      <c r="AB16" s="549"/>
      <c r="AC16" s="549"/>
      <c r="AD16" s="549"/>
      <c r="AE16" s="549"/>
      <c r="AF16" s="549"/>
      <c r="AG16" s="549"/>
      <c r="AH16" s="549"/>
      <c r="AI16" s="549"/>
      <c r="AJ16" s="549"/>
    </row>
    <row r="17" spans="1:36" s="194" customFormat="1" x14ac:dyDescent="0.35">
      <c r="N17" s="547"/>
      <c r="O17" s="547"/>
      <c r="P17" s="547"/>
      <c r="Q17" s="547"/>
      <c r="R17" s="547"/>
      <c r="S17" s="548" t="s">
        <v>94</v>
      </c>
      <c r="T17" s="548"/>
      <c r="U17" s="548"/>
      <c r="V17" s="548"/>
      <c r="W17" s="563" t="str">
        <f>表紙!L46</f>
        <v/>
      </c>
      <c r="X17" s="549"/>
      <c r="Y17" s="549"/>
      <c r="Z17" s="549"/>
      <c r="AA17" s="549"/>
      <c r="AB17" s="549"/>
      <c r="AC17" s="549"/>
      <c r="AD17" s="549"/>
      <c r="AE17" s="549"/>
      <c r="AF17" s="549"/>
      <c r="AG17" s="549"/>
      <c r="AH17" s="549"/>
      <c r="AI17" s="549"/>
      <c r="AJ17" s="549"/>
    </row>
    <row r="18" spans="1:36" s="194" customFormat="1" x14ac:dyDescent="0.35">
      <c r="N18" s="547"/>
      <c r="O18" s="547"/>
      <c r="P18" s="547"/>
      <c r="Q18" s="547"/>
      <c r="R18" s="547"/>
      <c r="S18" s="548"/>
      <c r="T18" s="548"/>
      <c r="U18" s="548"/>
      <c r="V18" s="548"/>
      <c r="W18" s="549"/>
      <c r="X18" s="549"/>
      <c r="Y18" s="549"/>
      <c r="Z18" s="549"/>
      <c r="AA18" s="549"/>
      <c r="AB18" s="549"/>
      <c r="AC18" s="549"/>
      <c r="AD18" s="549"/>
      <c r="AE18" s="549"/>
      <c r="AF18" s="549"/>
      <c r="AG18" s="549"/>
      <c r="AH18" s="549"/>
      <c r="AI18" s="549"/>
      <c r="AJ18" s="549"/>
    </row>
    <row r="19" spans="1:36" s="194" customFormat="1" x14ac:dyDescent="0.35"/>
    <row r="20" spans="1:36" s="194" customFormat="1" ht="24" x14ac:dyDescent="0.5">
      <c r="A20" s="564" t="str">
        <f>"　標記の補助金交付申請（申請額："&amp;IF(表紙!H20="金　　　　　　　　　円","　　　　　　　　",TEXT(表紙!H20,"###,0"))&amp;"円）に係る振込先口座情報及び当該口座の通帳写しについては"</f>
        <v>　標記の補助金交付申請（申請額：　　　　　　　　円）に係る振込先口座情報及び当該口座の通帳写しについては</v>
      </c>
      <c r="B20" s="565"/>
      <c r="C20" s="565"/>
      <c r="D20" s="565"/>
      <c r="E20" s="565"/>
      <c r="F20" s="565"/>
      <c r="G20" s="565"/>
      <c r="H20" s="566"/>
      <c r="I20" s="566"/>
      <c r="J20" s="566"/>
      <c r="K20" s="566"/>
      <c r="L20" s="566"/>
      <c r="M20" s="566"/>
      <c r="N20" s="566"/>
      <c r="O20" s="566"/>
      <c r="P20" s="566"/>
      <c r="Q20" s="566"/>
      <c r="R20" s="566"/>
      <c r="S20" s="566"/>
      <c r="T20" s="566"/>
      <c r="U20" s="566"/>
      <c r="V20" s="566"/>
      <c r="W20" s="566"/>
      <c r="X20" s="566"/>
      <c r="Y20" s="566"/>
      <c r="Z20" s="566"/>
      <c r="AA20" s="566"/>
      <c r="AB20" s="566"/>
      <c r="AC20" s="566"/>
      <c r="AD20" s="566"/>
      <c r="AE20" s="566"/>
      <c r="AF20" s="566"/>
      <c r="AG20" s="566"/>
      <c r="AH20" s="566"/>
      <c r="AI20" s="566"/>
      <c r="AJ20" s="566"/>
    </row>
    <row r="21" spans="1:36" s="194" customFormat="1" ht="24" x14ac:dyDescent="0.5">
      <c r="A21" s="70" t="s">
        <v>103</v>
      </c>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row>
    <row r="22" spans="1:36" s="194" customFormat="1" x14ac:dyDescent="0.35"/>
    <row r="23" spans="1:36" s="194" customFormat="1" ht="24" x14ac:dyDescent="0.35">
      <c r="A23" s="567" t="s">
        <v>105</v>
      </c>
      <c r="B23" s="573" t="s">
        <v>95</v>
      </c>
      <c r="C23" s="574"/>
      <c r="D23" s="574"/>
      <c r="E23" s="574"/>
      <c r="F23" s="575"/>
      <c r="G23" s="196" t="str">
        <f>IF(はじめに入力してください!H19="","",はじめに入力してください!H19)</f>
        <v/>
      </c>
      <c r="H23" s="197" t="str">
        <f>IF(はじめに入力してください!I19="","",はじめに入力してください!I19)</f>
        <v/>
      </c>
      <c r="I23" s="197" t="str">
        <f>IF(はじめに入力してください!J19="","",はじめに入力してください!J19)</f>
        <v/>
      </c>
      <c r="J23" s="198" t="str">
        <f>IF(はじめに入力してください!K19="","",はじめに入力してください!K19)</f>
        <v/>
      </c>
      <c r="K23" s="576"/>
      <c r="L23" s="572"/>
      <c r="M23" s="572"/>
      <c r="N23" s="572"/>
      <c r="O23" s="572"/>
      <c r="P23" s="572"/>
      <c r="Q23" s="572"/>
      <c r="R23" s="572"/>
      <c r="S23" s="572"/>
      <c r="T23" s="572"/>
      <c r="U23" s="572"/>
      <c r="V23" s="572"/>
      <c r="W23" s="572"/>
      <c r="X23" s="572"/>
      <c r="Y23" s="572"/>
      <c r="Z23" s="572"/>
      <c r="AA23" s="572"/>
      <c r="AB23" s="572"/>
      <c r="AC23" s="572"/>
      <c r="AD23" s="572"/>
      <c r="AE23" s="572"/>
      <c r="AF23" s="572"/>
      <c r="AG23" s="572"/>
      <c r="AH23" s="572"/>
      <c r="AI23" s="572"/>
      <c r="AJ23" s="572"/>
    </row>
    <row r="24" spans="1:36" s="194" customFormat="1" ht="24" x14ac:dyDescent="0.35">
      <c r="A24" s="568"/>
      <c r="B24" s="542" t="s">
        <v>96</v>
      </c>
      <c r="C24" s="543"/>
      <c r="D24" s="543"/>
      <c r="E24" s="543"/>
      <c r="F24" s="543"/>
      <c r="G24" s="196" t="str">
        <f>IF(はじめに入力してください!H21="","",はじめに入力してください!H21)</f>
        <v/>
      </c>
      <c r="H24" s="197" t="str">
        <f>IF(はじめに入力してください!I21="","",はじめに入力してください!I21)</f>
        <v/>
      </c>
      <c r="I24" s="198" t="str">
        <f>IF(はじめに入力してください!J21="","",はじめに入力してください!J21)</f>
        <v/>
      </c>
      <c r="J24" s="193"/>
      <c r="K24" s="572"/>
      <c r="L24" s="554"/>
      <c r="M24" s="554"/>
      <c r="N24" s="554"/>
      <c r="O24" s="554"/>
      <c r="P24" s="554"/>
      <c r="Q24" s="554"/>
      <c r="R24" s="554"/>
      <c r="S24" s="554"/>
      <c r="T24" s="554"/>
      <c r="U24" s="554"/>
      <c r="V24" s="554"/>
      <c r="W24" s="554"/>
      <c r="X24" s="554"/>
      <c r="Y24" s="554"/>
      <c r="Z24" s="554"/>
      <c r="AA24" s="554"/>
      <c r="AB24" s="554"/>
      <c r="AC24" s="554"/>
      <c r="AD24" s="554"/>
      <c r="AE24" s="554"/>
      <c r="AF24" s="554"/>
      <c r="AG24" s="554"/>
      <c r="AH24" s="554"/>
      <c r="AI24" s="554"/>
      <c r="AJ24" s="554"/>
    </row>
    <row r="25" spans="1:36" s="194" customFormat="1" ht="24" x14ac:dyDescent="0.35">
      <c r="A25" s="568"/>
      <c r="B25" s="544" t="s">
        <v>97</v>
      </c>
      <c r="C25" s="545"/>
      <c r="D25" s="545"/>
      <c r="E25" s="545"/>
      <c r="F25" s="546"/>
      <c r="G25" s="569" t="str">
        <f>IF(はじめに入力してください!H20="","",はじめに入力してください!H20)</f>
        <v/>
      </c>
      <c r="H25" s="570"/>
      <c r="I25" s="570"/>
      <c r="J25" s="570"/>
      <c r="K25" s="570"/>
      <c r="L25" s="570"/>
      <c r="M25" s="571"/>
      <c r="N25" s="553"/>
      <c r="O25" s="554"/>
      <c r="P25" s="554"/>
      <c r="Q25" s="554"/>
      <c r="R25" s="554"/>
      <c r="S25" s="554"/>
      <c r="T25" s="554"/>
      <c r="U25" s="554"/>
      <c r="V25" s="554"/>
      <c r="W25" s="554"/>
      <c r="X25" s="554"/>
      <c r="Y25" s="554"/>
      <c r="Z25" s="554"/>
      <c r="AA25" s="554"/>
      <c r="AB25" s="554"/>
      <c r="AC25" s="554"/>
      <c r="AD25" s="554"/>
      <c r="AE25" s="554"/>
      <c r="AF25" s="554"/>
      <c r="AG25" s="554"/>
      <c r="AH25" s="554"/>
      <c r="AI25" s="554"/>
      <c r="AJ25" s="554"/>
    </row>
    <row r="26" spans="1:36" s="194" customFormat="1" ht="24" x14ac:dyDescent="0.35">
      <c r="A26" s="568"/>
      <c r="B26" s="544" t="s">
        <v>98</v>
      </c>
      <c r="C26" s="545"/>
      <c r="D26" s="545"/>
      <c r="E26" s="545"/>
      <c r="F26" s="546"/>
      <c r="G26" s="588" t="str">
        <f>IF(はじめに入力してください!H22="","",はじめに入力してください!H22)</f>
        <v/>
      </c>
      <c r="H26" s="589"/>
      <c r="I26" s="589"/>
      <c r="J26" s="589"/>
      <c r="K26" s="589"/>
      <c r="L26" s="589"/>
      <c r="M26" s="590"/>
      <c r="N26" s="576"/>
      <c r="O26" s="572"/>
      <c r="P26" s="572"/>
      <c r="Q26" s="572"/>
      <c r="R26" s="572"/>
      <c r="S26" s="572"/>
      <c r="T26" s="572"/>
      <c r="U26" s="572"/>
      <c r="V26" s="572"/>
      <c r="W26" s="572"/>
      <c r="X26" s="572"/>
      <c r="Y26" s="572"/>
      <c r="Z26" s="572"/>
      <c r="AA26" s="572"/>
      <c r="AB26" s="572"/>
      <c r="AC26" s="572"/>
      <c r="AD26" s="572"/>
      <c r="AE26" s="572"/>
      <c r="AF26" s="572"/>
      <c r="AG26" s="572"/>
      <c r="AH26" s="572"/>
      <c r="AI26" s="572"/>
      <c r="AJ26" s="572"/>
    </row>
    <row r="27" spans="1:36" s="194" customFormat="1" ht="24" hidden="1" x14ac:dyDescent="0.35">
      <c r="A27" s="568"/>
      <c r="B27" s="591"/>
      <c r="C27" s="572"/>
      <c r="D27" s="572"/>
      <c r="E27" s="572"/>
      <c r="F27" s="572"/>
      <c r="G27" s="572"/>
      <c r="H27" s="572"/>
      <c r="I27" s="572"/>
      <c r="J27" s="572"/>
      <c r="K27" s="572"/>
      <c r="L27" s="572"/>
      <c r="M27" s="572"/>
      <c r="N27" s="572"/>
      <c r="O27" s="572"/>
      <c r="P27" s="572"/>
      <c r="Q27" s="572"/>
      <c r="R27" s="572"/>
      <c r="S27" s="572"/>
      <c r="T27" s="572"/>
      <c r="U27" s="572"/>
      <c r="V27" s="572"/>
      <c r="W27" s="572"/>
      <c r="X27" s="572"/>
      <c r="Y27" s="572"/>
      <c r="Z27" s="572"/>
      <c r="AA27" s="572"/>
      <c r="AB27" s="572"/>
      <c r="AC27" s="572"/>
      <c r="AD27" s="572"/>
      <c r="AE27" s="572"/>
      <c r="AF27" s="572"/>
      <c r="AG27" s="572"/>
      <c r="AH27" s="572"/>
      <c r="AI27" s="572"/>
      <c r="AJ27" s="572"/>
    </row>
    <row r="28" spans="1:36" s="194" customFormat="1" ht="24" x14ac:dyDescent="0.35">
      <c r="A28" s="568"/>
      <c r="B28" s="544" t="s">
        <v>99</v>
      </c>
      <c r="C28" s="545"/>
      <c r="D28" s="545"/>
      <c r="E28" s="545"/>
      <c r="F28" s="545"/>
      <c r="G28" s="592" t="str">
        <f>IF(はじめに入力してください!H23="","",はじめに入力してください!H23)</f>
        <v/>
      </c>
      <c r="H28" s="593"/>
      <c r="I28" s="594"/>
      <c r="J28" s="595"/>
      <c r="K28" s="595"/>
      <c r="L28" s="595"/>
      <c r="M28" s="595"/>
      <c r="N28" s="595"/>
      <c r="O28" s="595"/>
      <c r="P28" s="595"/>
      <c r="Q28" s="595"/>
      <c r="R28" s="595"/>
      <c r="S28" s="595"/>
      <c r="T28" s="595"/>
      <c r="U28" s="595"/>
      <c r="V28" s="595"/>
      <c r="W28" s="595"/>
      <c r="X28" s="595"/>
      <c r="Y28" s="595"/>
      <c r="Z28" s="595"/>
      <c r="AA28" s="595"/>
      <c r="AB28" s="595"/>
      <c r="AC28" s="595"/>
      <c r="AD28" s="595"/>
      <c r="AE28" s="595"/>
      <c r="AF28" s="595"/>
      <c r="AG28" s="595"/>
      <c r="AH28" s="595"/>
      <c r="AI28" s="595"/>
      <c r="AJ28" s="595"/>
    </row>
    <row r="29" spans="1:36" s="194" customFormat="1" ht="24" x14ac:dyDescent="0.35">
      <c r="A29" s="568"/>
      <c r="B29" s="544" t="s">
        <v>100</v>
      </c>
      <c r="C29" s="545"/>
      <c r="D29" s="545"/>
      <c r="E29" s="545"/>
      <c r="F29" s="545"/>
      <c r="G29" s="199" t="str">
        <f>IF(はじめに入力してください!H24="","",はじめに入力してください!H24)</f>
        <v/>
      </c>
      <c r="H29" s="200" t="str">
        <f>IF(はじめに入力してください!I24="","",はじめに入力してください!I24)</f>
        <v/>
      </c>
      <c r="I29" s="200" t="str">
        <f>IF(はじめに入力してください!J24="","",はじめに入力してください!J24)</f>
        <v/>
      </c>
      <c r="J29" s="200" t="str">
        <f>IF(はじめに入力してください!K24="","",はじめに入力してください!K24)</f>
        <v/>
      </c>
      <c r="K29" s="200" t="str">
        <f>IF(はじめに入力してください!L24="","",はじめに入力してください!L24)</f>
        <v/>
      </c>
      <c r="L29" s="200" t="str">
        <f>IF(はじめに入力してください!M24="","",はじめに入力してください!M24)</f>
        <v/>
      </c>
      <c r="M29" s="201" t="str">
        <f>IF(はじめに入力してください!N24="","",はじめに入力してください!N24)</f>
        <v/>
      </c>
      <c r="N29" s="596"/>
      <c r="O29" s="597"/>
      <c r="P29" s="597"/>
      <c r="Q29" s="597"/>
      <c r="R29" s="597"/>
      <c r="S29" s="597"/>
      <c r="T29" s="597"/>
      <c r="U29" s="597"/>
      <c r="V29" s="597"/>
      <c r="W29" s="597"/>
      <c r="X29" s="597"/>
      <c r="Y29" s="597"/>
      <c r="Z29" s="597"/>
      <c r="AA29" s="597"/>
      <c r="AB29" s="597"/>
      <c r="AC29" s="597"/>
      <c r="AD29" s="597"/>
      <c r="AE29" s="597"/>
      <c r="AF29" s="597"/>
      <c r="AG29" s="597"/>
      <c r="AH29" s="597"/>
      <c r="AI29" s="597"/>
      <c r="AJ29" s="597"/>
    </row>
    <row r="30" spans="1:36" s="194" customFormat="1" ht="24.75" customHeight="1" x14ac:dyDescent="0.35">
      <c r="A30" s="568"/>
      <c r="B30" s="574" t="s">
        <v>101</v>
      </c>
      <c r="C30" s="574"/>
      <c r="D30" s="574"/>
      <c r="E30" s="574"/>
      <c r="F30" s="575"/>
      <c r="G30" s="598" t="str">
        <f>IF(はじめに入力してください!H25="","",はじめに入力してください!H25)</f>
        <v/>
      </c>
      <c r="H30" s="599"/>
      <c r="I30" s="599"/>
      <c r="J30" s="599"/>
      <c r="K30" s="599"/>
      <c r="L30" s="599"/>
      <c r="M30" s="599"/>
      <c r="N30" s="599"/>
      <c r="O30" s="599"/>
      <c r="P30" s="599"/>
      <c r="Q30" s="599"/>
      <c r="R30" s="599"/>
      <c r="S30" s="599"/>
      <c r="T30" s="599"/>
      <c r="U30" s="599"/>
      <c r="V30" s="599"/>
      <c r="W30" s="599"/>
      <c r="X30" s="599"/>
      <c r="Y30" s="599"/>
      <c r="Z30" s="599"/>
      <c r="AA30" s="599"/>
      <c r="AB30" s="599"/>
      <c r="AC30" s="599"/>
      <c r="AD30" s="599"/>
      <c r="AE30" s="599"/>
      <c r="AF30" s="599"/>
      <c r="AG30" s="599"/>
      <c r="AH30" s="599"/>
      <c r="AI30" s="599"/>
      <c r="AJ30" s="599"/>
    </row>
    <row r="31" spans="1:36" s="194" customFormat="1" ht="24" x14ac:dyDescent="0.35">
      <c r="A31" s="586" t="s">
        <v>102</v>
      </c>
      <c r="B31" s="587"/>
      <c r="C31" s="587"/>
      <c r="D31" s="587"/>
      <c r="E31" s="587"/>
      <c r="F31" s="587"/>
      <c r="G31" s="587"/>
      <c r="H31" s="587"/>
      <c r="I31" s="587"/>
      <c r="J31" s="587"/>
      <c r="K31" s="587"/>
      <c r="L31" s="587"/>
      <c r="M31" s="587"/>
      <c r="N31" s="587"/>
      <c r="O31" s="587"/>
      <c r="P31" s="587"/>
      <c r="Q31" s="587"/>
      <c r="R31" s="587"/>
      <c r="S31" s="587"/>
      <c r="T31" s="587"/>
      <c r="U31" s="587"/>
      <c r="V31" s="587"/>
      <c r="W31" s="587"/>
      <c r="X31" s="587"/>
      <c r="Y31" s="587"/>
      <c r="Z31" s="587"/>
      <c r="AA31" s="587"/>
      <c r="AB31" s="587"/>
      <c r="AC31" s="587"/>
      <c r="AD31" s="587"/>
      <c r="AE31" s="587"/>
      <c r="AF31" s="587"/>
      <c r="AG31" s="587"/>
      <c r="AH31" s="587"/>
      <c r="AI31" s="587"/>
      <c r="AJ31" s="587"/>
    </row>
    <row r="32" spans="1:36" s="194" customFormat="1" ht="24.75" thickBot="1" x14ac:dyDescent="0.55000000000000004">
      <c r="C32" s="106"/>
    </row>
    <row r="33" spans="2:35" s="194" customFormat="1" x14ac:dyDescent="0.35">
      <c r="B33" s="577" t="s">
        <v>319</v>
      </c>
      <c r="C33" s="578"/>
      <c r="D33" s="578"/>
      <c r="E33" s="578"/>
      <c r="F33" s="578"/>
      <c r="G33" s="578"/>
      <c r="H33" s="578"/>
      <c r="I33" s="578"/>
      <c r="J33" s="578"/>
      <c r="K33" s="578"/>
      <c r="L33" s="578"/>
      <c r="M33" s="578"/>
      <c r="N33" s="578"/>
      <c r="O33" s="578"/>
      <c r="P33" s="578"/>
      <c r="Q33" s="578"/>
      <c r="R33" s="578"/>
      <c r="S33" s="578"/>
      <c r="T33" s="578"/>
      <c r="U33" s="578"/>
      <c r="V33" s="578"/>
      <c r="W33" s="578"/>
      <c r="X33" s="578"/>
      <c r="Y33" s="578"/>
      <c r="Z33" s="578"/>
      <c r="AA33" s="578"/>
      <c r="AB33" s="578"/>
      <c r="AC33" s="578"/>
      <c r="AD33" s="578"/>
      <c r="AE33" s="578"/>
      <c r="AF33" s="578"/>
      <c r="AG33" s="578"/>
      <c r="AH33" s="578"/>
      <c r="AI33" s="579"/>
    </row>
    <row r="34" spans="2:35" s="194" customFormat="1" x14ac:dyDescent="0.35">
      <c r="B34" s="580"/>
      <c r="C34" s="581"/>
      <c r="D34" s="581"/>
      <c r="E34" s="581"/>
      <c r="F34" s="581"/>
      <c r="G34" s="581"/>
      <c r="H34" s="581"/>
      <c r="I34" s="581"/>
      <c r="J34" s="581"/>
      <c r="K34" s="581"/>
      <c r="L34" s="581"/>
      <c r="M34" s="581"/>
      <c r="N34" s="581"/>
      <c r="O34" s="581"/>
      <c r="P34" s="581"/>
      <c r="Q34" s="581"/>
      <c r="R34" s="581"/>
      <c r="S34" s="581"/>
      <c r="T34" s="581"/>
      <c r="U34" s="581"/>
      <c r="V34" s="581"/>
      <c r="W34" s="581"/>
      <c r="X34" s="581"/>
      <c r="Y34" s="581"/>
      <c r="Z34" s="581"/>
      <c r="AA34" s="581"/>
      <c r="AB34" s="581"/>
      <c r="AC34" s="581"/>
      <c r="AD34" s="581"/>
      <c r="AE34" s="581"/>
      <c r="AF34" s="581"/>
      <c r="AG34" s="581"/>
      <c r="AH34" s="581"/>
      <c r="AI34" s="582"/>
    </row>
    <row r="35" spans="2:35" s="194" customFormat="1" x14ac:dyDescent="0.35">
      <c r="B35" s="580"/>
      <c r="C35" s="581"/>
      <c r="D35" s="581"/>
      <c r="E35" s="581"/>
      <c r="F35" s="581"/>
      <c r="G35" s="581"/>
      <c r="H35" s="581"/>
      <c r="I35" s="581"/>
      <c r="J35" s="581"/>
      <c r="K35" s="581"/>
      <c r="L35" s="581"/>
      <c r="M35" s="581"/>
      <c r="N35" s="581"/>
      <c r="O35" s="581"/>
      <c r="P35" s="581"/>
      <c r="Q35" s="581"/>
      <c r="R35" s="581"/>
      <c r="S35" s="581"/>
      <c r="T35" s="581"/>
      <c r="U35" s="581"/>
      <c r="V35" s="581"/>
      <c r="W35" s="581"/>
      <c r="X35" s="581"/>
      <c r="Y35" s="581"/>
      <c r="Z35" s="581"/>
      <c r="AA35" s="581"/>
      <c r="AB35" s="581"/>
      <c r="AC35" s="581"/>
      <c r="AD35" s="581"/>
      <c r="AE35" s="581"/>
      <c r="AF35" s="581"/>
      <c r="AG35" s="581"/>
      <c r="AH35" s="581"/>
      <c r="AI35" s="582"/>
    </row>
    <row r="36" spans="2:35" s="194" customFormat="1" x14ac:dyDescent="0.35">
      <c r="B36" s="580"/>
      <c r="C36" s="581"/>
      <c r="D36" s="581"/>
      <c r="E36" s="581"/>
      <c r="F36" s="581"/>
      <c r="G36" s="581"/>
      <c r="H36" s="581"/>
      <c r="I36" s="581"/>
      <c r="J36" s="581"/>
      <c r="K36" s="581"/>
      <c r="L36" s="581"/>
      <c r="M36" s="581"/>
      <c r="N36" s="581"/>
      <c r="O36" s="581"/>
      <c r="P36" s="581"/>
      <c r="Q36" s="581"/>
      <c r="R36" s="581"/>
      <c r="S36" s="581"/>
      <c r="T36" s="581"/>
      <c r="U36" s="581"/>
      <c r="V36" s="581"/>
      <c r="W36" s="581"/>
      <c r="X36" s="581"/>
      <c r="Y36" s="581"/>
      <c r="Z36" s="581"/>
      <c r="AA36" s="581"/>
      <c r="AB36" s="581"/>
      <c r="AC36" s="581"/>
      <c r="AD36" s="581"/>
      <c r="AE36" s="581"/>
      <c r="AF36" s="581"/>
      <c r="AG36" s="581"/>
      <c r="AH36" s="581"/>
      <c r="AI36" s="582"/>
    </row>
    <row r="37" spans="2:35" s="194" customFormat="1" x14ac:dyDescent="0.35">
      <c r="B37" s="580"/>
      <c r="C37" s="581"/>
      <c r="D37" s="581"/>
      <c r="E37" s="581"/>
      <c r="F37" s="581"/>
      <c r="G37" s="581"/>
      <c r="H37" s="581"/>
      <c r="I37" s="581"/>
      <c r="J37" s="581"/>
      <c r="K37" s="581"/>
      <c r="L37" s="581"/>
      <c r="M37" s="581"/>
      <c r="N37" s="581"/>
      <c r="O37" s="581"/>
      <c r="P37" s="581"/>
      <c r="Q37" s="581"/>
      <c r="R37" s="581"/>
      <c r="S37" s="581"/>
      <c r="T37" s="581"/>
      <c r="U37" s="581"/>
      <c r="V37" s="581"/>
      <c r="W37" s="581"/>
      <c r="X37" s="581"/>
      <c r="Y37" s="581"/>
      <c r="Z37" s="581"/>
      <c r="AA37" s="581"/>
      <c r="AB37" s="581"/>
      <c r="AC37" s="581"/>
      <c r="AD37" s="581"/>
      <c r="AE37" s="581"/>
      <c r="AF37" s="581"/>
      <c r="AG37" s="581"/>
      <c r="AH37" s="581"/>
      <c r="AI37" s="582"/>
    </row>
    <row r="38" spans="2:35" s="194" customFormat="1" x14ac:dyDescent="0.35">
      <c r="B38" s="580"/>
      <c r="C38" s="581"/>
      <c r="D38" s="581"/>
      <c r="E38" s="581"/>
      <c r="F38" s="581"/>
      <c r="G38" s="581"/>
      <c r="H38" s="581"/>
      <c r="I38" s="581"/>
      <c r="J38" s="581"/>
      <c r="K38" s="581"/>
      <c r="L38" s="581"/>
      <c r="M38" s="581"/>
      <c r="N38" s="581"/>
      <c r="O38" s="581"/>
      <c r="P38" s="581"/>
      <c r="Q38" s="581"/>
      <c r="R38" s="581"/>
      <c r="S38" s="581"/>
      <c r="T38" s="581"/>
      <c r="U38" s="581"/>
      <c r="V38" s="581"/>
      <c r="W38" s="581"/>
      <c r="X38" s="581"/>
      <c r="Y38" s="581"/>
      <c r="Z38" s="581"/>
      <c r="AA38" s="581"/>
      <c r="AB38" s="581"/>
      <c r="AC38" s="581"/>
      <c r="AD38" s="581"/>
      <c r="AE38" s="581"/>
      <c r="AF38" s="581"/>
      <c r="AG38" s="581"/>
      <c r="AH38" s="581"/>
      <c r="AI38" s="582"/>
    </row>
    <row r="39" spans="2:35" s="194" customFormat="1" x14ac:dyDescent="0.35">
      <c r="B39" s="580"/>
      <c r="C39" s="581"/>
      <c r="D39" s="581"/>
      <c r="E39" s="581"/>
      <c r="F39" s="581"/>
      <c r="G39" s="581"/>
      <c r="H39" s="581"/>
      <c r="I39" s="581"/>
      <c r="J39" s="581"/>
      <c r="K39" s="581"/>
      <c r="L39" s="581"/>
      <c r="M39" s="581"/>
      <c r="N39" s="581"/>
      <c r="O39" s="581"/>
      <c r="P39" s="581"/>
      <c r="Q39" s="581"/>
      <c r="R39" s="581"/>
      <c r="S39" s="581"/>
      <c r="T39" s="581"/>
      <c r="U39" s="581"/>
      <c r="V39" s="581"/>
      <c r="W39" s="581"/>
      <c r="X39" s="581"/>
      <c r="Y39" s="581"/>
      <c r="Z39" s="581"/>
      <c r="AA39" s="581"/>
      <c r="AB39" s="581"/>
      <c r="AC39" s="581"/>
      <c r="AD39" s="581"/>
      <c r="AE39" s="581"/>
      <c r="AF39" s="581"/>
      <c r="AG39" s="581"/>
      <c r="AH39" s="581"/>
      <c r="AI39" s="582"/>
    </row>
    <row r="40" spans="2:35" s="194" customFormat="1" x14ac:dyDescent="0.35">
      <c r="B40" s="580"/>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c r="AA40" s="581"/>
      <c r="AB40" s="581"/>
      <c r="AC40" s="581"/>
      <c r="AD40" s="581"/>
      <c r="AE40" s="581"/>
      <c r="AF40" s="581"/>
      <c r="AG40" s="581"/>
      <c r="AH40" s="581"/>
      <c r="AI40" s="582"/>
    </row>
    <row r="41" spans="2:35" s="194" customFormat="1" x14ac:dyDescent="0.35">
      <c r="B41" s="580"/>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c r="AC41" s="581"/>
      <c r="AD41" s="581"/>
      <c r="AE41" s="581"/>
      <c r="AF41" s="581"/>
      <c r="AG41" s="581"/>
      <c r="AH41" s="581"/>
      <c r="AI41" s="582"/>
    </row>
    <row r="42" spans="2:35" s="194" customFormat="1" x14ac:dyDescent="0.35">
      <c r="B42" s="580"/>
      <c r="C42" s="581"/>
      <c r="D42" s="581"/>
      <c r="E42" s="581"/>
      <c r="F42" s="581"/>
      <c r="G42" s="581"/>
      <c r="H42" s="581"/>
      <c r="I42" s="581"/>
      <c r="J42" s="581"/>
      <c r="K42" s="581"/>
      <c r="L42" s="581"/>
      <c r="M42" s="581"/>
      <c r="N42" s="581"/>
      <c r="O42" s="581"/>
      <c r="P42" s="581"/>
      <c r="Q42" s="581"/>
      <c r="R42" s="581"/>
      <c r="S42" s="581"/>
      <c r="T42" s="581"/>
      <c r="U42" s="581"/>
      <c r="V42" s="581"/>
      <c r="W42" s="581"/>
      <c r="X42" s="581"/>
      <c r="Y42" s="581"/>
      <c r="Z42" s="581"/>
      <c r="AA42" s="581"/>
      <c r="AB42" s="581"/>
      <c r="AC42" s="581"/>
      <c r="AD42" s="581"/>
      <c r="AE42" s="581"/>
      <c r="AF42" s="581"/>
      <c r="AG42" s="581"/>
      <c r="AH42" s="581"/>
      <c r="AI42" s="582"/>
    </row>
    <row r="43" spans="2:35" s="194" customFormat="1" x14ac:dyDescent="0.35">
      <c r="B43" s="580"/>
      <c r="C43" s="581"/>
      <c r="D43" s="581"/>
      <c r="E43" s="581"/>
      <c r="F43" s="581"/>
      <c r="G43" s="581"/>
      <c r="H43" s="581"/>
      <c r="I43" s="581"/>
      <c r="J43" s="581"/>
      <c r="K43" s="581"/>
      <c r="L43" s="581"/>
      <c r="M43" s="581"/>
      <c r="N43" s="581"/>
      <c r="O43" s="581"/>
      <c r="P43" s="581"/>
      <c r="Q43" s="581"/>
      <c r="R43" s="581"/>
      <c r="S43" s="581"/>
      <c r="T43" s="581"/>
      <c r="U43" s="581"/>
      <c r="V43" s="581"/>
      <c r="W43" s="581"/>
      <c r="X43" s="581"/>
      <c r="Y43" s="581"/>
      <c r="Z43" s="581"/>
      <c r="AA43" s="581"/>
      <c r="AB43" s="581"/>
      <c r="AC43" s="581"/>
      <c r="AD43" s="581"/>
      <c r="AE43" s="581"/>
      <c r="AF43" s="581"/>
      <c r="AG43" s="581"/>
      <c r="AH43" s="581"/>
      <c r="AI43" s="582"/>
    </row>
    <row r="44" spans="2:35" s="194" customFormat="1" x14ac:dyDescent="0.35">
      <c r="B44" s="580"/>
      <c r="C44" s="581"/>
      <c r="D44" s="581"/>
      <c r="E44" s="581"/>
      <c r="F44" s="581"/>
      <c r="G44" s="581"/>
      <c r="H44" s="581"/>
      <c r="I44" s="581"/>
      <c r="J44" s="581"/>
      <c r="K44" s="581"/>
      <c r="L44" s="581"/>
      <c r="M44" s="581"/>
      <c r="N44" s="581"/>
      <c r="O44" s="581"/>
      <c r="P44" s="581"/>
      <c r="Q44" s="581"/>
      <c r="R44" s="581"/>
      <c r="S44" s="581"/>
      <c r="T44" s="581"/>
      <c r="U44" s="581"/>
      <c r="V44" s="581"/>
      <c r="W44" s="581"/>
      <c r="X44" s="581"/>
      <c r="Y44" s="581"/>
      <c r="Z44" s="581"/>
      <c r="AA44" s="581"/>
      <c r="AB44" s="581"/>
      <c r="AC44" s="581"/>
      <c r="AD44" s="581"/>
      <c r="AE44" s="581"/>
      <c r="AF44" s="581"/>
      <c r="AG44" s="581"/>
      <c r="AH44" s="581"/>
      <c r="AI44" s="582"/>
    </row>
    <row r="45" spans="2:35" s="194" customFormat="1" x14ac:dyDescent="0.35">
      <c r="B45" s="580"/>
      <c r="C45" s="581"/>
      <c r="D45" s="581"/>
      <c r="E45" s="581"/>
      <c r="F45" s="581"/>
      <c r="G45" s="581"/>
      <c r="H45" s="581"/>
      <c r="I45" s="581"/>
      <c r="J45" s="581"/>
      <c r="K45" s="581"/>
      <c r="L45" s="581"/>
      <c r="M45" s="581"/>
      <c r="N45" s="581"/>
      <c r="O45" s="581"/>
      <c r="P45" s="581"/>
      <c r="Q45" s="581"/>
      <c r="R45" s="581"/>
      <c r="S45" s="581"/>
      <c r="T45" s="581"/>
      <c r="U45" s="581"/>
      <c r="V45" s="581"/>
      <c r="W45" s="581"/>
      <c r="X45" s="581"/>
      <c r="Y45" s="581"/>
      <c r="Z45" s="581"/>
      <c r="AA45" s="581"/>
      <c r="AB45" s="581"/>
      <c r="AC45" s="581"/>
      <c r="AD45" s="581"/>
      <c r="AE45" s="581"/>
      <c r="AF45" s="581"/>
      <c r="AG45" s="581"/>
      <c r="AH45" s="581"/>
      <c r="AI45" s="582"/>
    </row>
    <row r="46" spans="2:35" s="194" customFormat="1" x14ac:dyDescent="0.35">
      <c r="B46" s="580"/>
      <c r="C46" s="581"/>
      <c r="D46" s="581"/>
      <c r="E46" s="581"/>
      <c r="F46" s="581"/>
      <c r="G46" s="581"/>
      <c r="H46" s="581"/>
      <c r="I46" s="581"/>
      <c r="J46" s="581"/>
      <c r="K46" s="581"/>
      <c r="L46" s="581"/>
      <c r="M46" s="581"/>
      <c r="N46" s="581"/>
      <c r="O46" s="581"/>
      <c r="P46" s="581"/>
      <c r="Q46" s="581"/>
      <c r="R46" s="581"/>
      <c r="S46" s="581"/>
      <c r="T46" s="581"/>
      <c r="U46" s="581"/>
      <c r="V46" s="581"/>
      <c r="W46" s="581"/>
      <c r="X46" s="581"/>
      <c r="Y46" s="581"/>
      <c r="Z46" s="581"/>
      <c r="AA46" s="581"/>
      <c r="AB46" s="581"/>
      <c r="AC46" s="581"/>
      <c r="AD46" s="581"/>
      <c r="AE46" s="581"/>
      <c r="AF46" s="581"/>
      <c r="AG46" s="581"/>
      <c r="AH46" s="581"/>
      <c r="AI46" s="582"/>
    </row>
    <row r="47" spans="2:35" s="194" customFormat="1" x14ac:dyDescent="0.35">
      <c r="B47" s="580"/>
      <c r="C47" s="581"/>
      <c r="D47" s="581"/>
      <c r="E47" s="581"/>
      <c r="F47" s="581"/>
      <c r="G47" s="581"/>
      <c r="H47" s="581"/>
      <c r="I47" s="581"/>
      <c r="J47" s="581"/>
      <c r="K47" s="581"/>
      <c r="L47" s="581"/>
      <c r="M47" s="581"/>
      <c r="N47" s="581"/>
      <c r="O47" s="581"/>
      <c r="P47" s="581"/>
      <c r="Q47" s="581"/>
      <c r="R47" s="581"/>
      <c r="S47" s="581"/>
      <c r="T47" s="581"/>
      <c r="U47" s="581"/>
      <c r="V47" s="581"/>
      <c r="W47" s="581"/>
      <c r="X47" s="581"/>
      <c r="Y47" s="581"/>
      <c r="Z47" s="581"/>
      <c r="AA47" s="581"/>
      <c r="AB47" s="581"/>
      <c r="AC47" s="581"/>
      <c r="AD47" s="581"/>
      <c r="AE47" s="581"/>
      <c r="AF47" s="581"/>
      <c r="AG47" s="581"/>
      <c r="AH47" s="581"/>
      <c r="AI47" s="582"/>
    </row>
    <row r="48" spans="2:35" s="194" customFormat="1" x14ac:dyDescent="0.35">
      <c r="B48" s="580"/>
      <c r="C48" s="581"/>
      <c r="D48" s="581"/>
      <c r="E48" s="581"/>
      <c r="F48" s="581"/>
      <c r="G48" s="581"/>
      <c r="H48" s="581"/>
      <c r="I48" s="581"/>
      <c r="J48" s="581"/>
      <c r="K48" s="581"/>
      <c r="L48" s="581"/>
      <c r="M48" s="581"/>
      <c r="N48" s="581"/>
      <c r="O48" s="581"/>
      <c r="P48" s="581"/>
      <c r="Q48" s="581"/>
      <c r="R48" s="581"/>
      <c r="S48" s="581"/>
      <c r="T48" s="581"/>
      <c r="U48" s="581"/>
      <c r="V48" s="581"/>
      <c r="W48" s="581"/>
      <c r="X48" s="581"/>
      <c r="Y48" s="581"/>
      <c r="Z48" s="581"/>
      <c r="AA48" s="581"/>
      <c r="AB48" s="581"/>
      <c r="AC48" s="581"/>
      <c r="AD48" s="581"/>
      <c r="AE48" s="581"/>
      <c r="AF48" s="581"/>
      <c r="AG48" s="581"/>
      <c r="AH48" s="581"/>
      <c r="AI48" s="582"/>
    </row>
    <row r="49" spans="2:35" s="194" customFormat="1" x14ac:dyDescent="0.35">
      <c r="B49" s="580"/>
      <c r="C49" s="581"/>
      <c r="D49" s="581"/>
      <c r="E49" s="581"/>
      <c r="F49" s="581"/>
      <c r="G49" s="581"/>
      <c r="H49" s="581"/>
      <c r="I49" s="581"/>
      <c r="J49" s="581"/>
      <c r="K49" s="581"/>
      <c r="L49" s="581"/>
      <c r="M49" s="581"/>
      <c r="N49" s="581"/>
      <c r="O49" s="581"/>
      <c r="P49" s="581"/>
      <c r="Q49" s="581"/>
      <c r="R49" s="581"/>
      <c r="S49" s="581"/>
      <c r="T49" s="581"/>
      <c r="U49" s="581"/>
      <c r="V49" s="581"/>
      <c r="W49" s="581"/>
      <c r="X49" s="581"/>
      <c r="Y49" s="581"/>
      <c r="Z49" s="581"/>
      <c r="AA49" s="581"/>
      <c r="AB49" s="581"/>
      <c r="AC49" s="581"/>
      <c r="AD49" s="581"/>
      <c r="AE49" s="581"/>
      <c r="AF49" s="581"/>
      <c r="AG49" s="581"/>
      <c r="AH49" s="581"/>
      <c r="AI49" s="582"/>
    </row>
    <row r="50" spans="2:35" s="194" customFormat="1" x14ac:dyDescent="0.35">
      <c r="B50" s="580"/>
      <c r="C50" s="581"/>
      <c r="D50" s="581"/>
      <c r="E50" s="581"/>
      <c r="F50" s="581"/>
      <c r="G50" s="581"/>
      <c r="H50" s="581"/>
      <c r="I50" s="581"/>
      <c r="J50" s="581"/>
      <c r="K50" s="581"/>
      <c r="L50" s="581"/>
      <c r="M50" s="581"/>
      <c r="N50" s="581"/>
      <c r="O50" s="581"/>
      <c r="P50" s="581"/>
      <c r="Q50" s="581"/>
      <c r="R50" s="581"/>
      <c r="S50" s="581"/>
      <c r="T50" s="581"/>
      <c r="U50" s="581"/>
      <c r="V50" s="581"/>
      <c r="W50" s="581"/>
      <c r="X50" s="581"/>
      <c r="Y50" s="581"/>
      <c r="Z50" s="581"/>
      <c r="AA50" s="581"/>
      <c r="AB50" s="581"/>
      <c r="AC50" s="581"/>
      <c r="AD50" s="581"/>
      <c r="AE50" s="581"/>
      <c r="AF50" s="581"/>
      <c r="AG50" s="581"/>
      <c r="AH50" s="581"/>
      <c r="AI50" s="582"/>
    </row>
    <row r="51" spans="2:35" s="194" customFormat="1" x14ac:dyDescent="0.35">
      <c r="B51" s="580"/>
      <c r="C51" s="581"/>
      <c r="D51" s="581"/>
      <c r="E51" s="581"/>
      <c r="F51" s="581"/>
      <c r="G51" s="581"/>
      <c r="H51" s="581"/>
      <c r="I51" s="581"/>
      <c r="J51" s="581"/>
      <c r="K51" s="581"/>
      <c r="L51" s="581"/>
      <c r="M51" s="581"/>
      <c r="N51" s="581"/>
      <c r="O51" s="581"/>
      <c r="P51" s="581"/>
      <c r="Q51" s="581"/>
      <c r="R51" s="581"/>
      <c r="S51" s="581"/>
      <c r="T51" s="581"/>
      <c r="U51" s="581"/>
      <c r="V51" s="581"/>
      <c r="W51" s="581"/>
      <c r="X51" s="581"/>
      <c r="Y51" s="581"/>
      <c r="Z51" s="581"/>
      <c r="AA51" s="581"/>
      <c r="AB51" s="581"/>
      <c r="AC51" s="581"/>
      <c r="AD51" s="581"/>
      <c r="AE51" s="581"/>
      <c r="AF51" s="581"/>
      <c r="AG51" s="581"/>
      <c r="AH51" s="581"/>
      <c r="AI51" s="582"/>
    </row>
    <row r="52" spans="2:35" s="194" customFormat="1" x14ac:dyDescent="0.35">
      <c r="B52" s="580"/>
      <c r="C52" s="581"/>
      <c r="D52" s="581"/>
      <c r="E52" s="581"/>
      <c r="F52" s="581"/>
      <c r="G52" s="581"/>
      <c r="H52" s="581"/>
      <c r="I52" s="581"/>
      <c r="J52" s="581"/>
      <c r="K52" s="581"/>
      <c r="L52" s="581"/>
      <c r="M52" s="581"/>
      <c r="N52" s="581"/>
      <c r="O52" s="581"/>
      <c r="P52" s="581"/>
      <c r="Q52" s="581"/>
      <c r="R52" s="581"/>
      <c r="S52" s="581"/>
      <c r="T52" s="581"/>
      <c r="U52" s="581"/>
      <c r="V52" s="581"/>
      <c r="W52" s="581"/>
      <c r="X52" s="581"/>
      <c r="Y52" s="581"/>
      <c r="Z52" s="581"/>
      <c r="AA52" s="581"/>
      <c r="AB52" s="581"/>
      <c r="AC52" s="581"/>
      <c r="AD52" s="581"/>
      <c r="AE52" s="581"/>
      <c r="AF52" s="581"/>
      <c r="AG52" s="581"/>
      <c r="AH52" s="581"/>
      <c r="AI52" s="582"/>
    </row>
    <row r="53" spans="2:35" s="194" customFormat="1" x14ac:dyDescent="0.35">
      <c r="B53" s="580"/>
      <c r="C53" s="581"/>
      <c r="D53" s="581"/>
      <c r="E53" s="581"/>
      <c r="F53" s="581"/>
      <c r="G53" s="581"/>
      <c r="H53" s="581"/>
      <c r="I53" s="581"/>
      <c r="J53" s="581"/>
      <c r="K53" s="581"/>
      <c r="L53" s="581"/>
      <c r="M53" s="581"/>
      <c r="N53" s="581"/>
      <c r="O53" s="581"/>
      <c r="P53" s="581"/>
      <c r="Q53" s="581"/>
      <c r="R53" s="581"/>
      <c r="S53" s="581"/>
      <c r="T53" s="581"/>
      <c r="U53" s="581"/>
      <c r="V53" s="581"/>
      <c r="W53" s="581"/>
      <c r="X53" s="581"/>
      <c r="Y53" s="581"/>
      <c r="Z53" s="581"/>
      <c r="AA53" s="581"/>
      <c r="AB53" s="581"/>
      <c r="AC53" s="581"/>
      <c r="AD53" s="581"/>
      <c r="AE53" s="581"/>
      <c r="AF53" s="581"/>
      <c r="AG53" s="581"/>
      <c r="AH53" s="581"/>
      <c r="AI53" s="582"/>
    </row>
    <row r="54" spans="2:35" s="194" customFormat="1" x14ac:dyDescent="0.35">
      <c r="B54" s="580"/>
      <c r="C54" s="581"/>
      <c r="D54" s="581"/>
      <c r="E54" s="581"/>
      <c r="F54" s="581"/>
      <c r="G54" s="581"/>
      <c r="H54" s="581"/>
      <c r="I54" s="581"/>
      <c r="J54" s="581"/>
      <c r="K54" s="581"/>
      <c r="L54" s="581"/>
      <c r="M54" s="581"/>
      <c r="N54" s="581"/>
      <c r="O54" s="581"/>
      <c r="P54" s="581"/>
      <c r="Q54" s="581"/>
      <c r="R54" s="581"/>
      <c r="S54" s="581"/>
      <c r="T54" s="581"/>
      <c r="U54" s="581"/>
      <c r="V54" s="581"/>
      <c r="W54" s="581"/>
      <c r="X54" s="581"/>
      <c r="Y54" s="581"/>
      <c r="Z54" s="581"/>
      <c r="AA54" s="581"/>
      <c r="AB54" s="581"/>
      <c r="AC54" s="581"/>
      <c r="AD54" s="581"/>
      <c r="AE54" s="581"/>
      <c r="AF54" s="581"/>
      <c r="AG54" s="581"/>
      <c r="AH54" s="581"/>
      <c r="AI54" s="582"/>
    </row>
    <row r="55" spans="2:35" s="194" customFormat="1" ht="18.75" thickBot="1" x14ac:dyDescent="0.4">
      <c r="B55" s="583"/>
      <c r="C55" s="584"/>
      <c r="D55" s="584"/>
      <c r="E55" s="584"/>
      <c r="F55" s="584"/>
      <c r="G55" s="584"/>
      <c r="H55" s="584"/>
      <c r="I55" s="584"/>
      <c r="J55" s="584"/>
      <c r="K55" s="584"/>
      <c r="L55" s="584"/>
      <c r="M55" s="584"/>
      <c r="N55" s="584"/>
      <c r="O55" s="584"/>
      <c r="P55" s="584"/>
      <c r="Q55" s="584"/>
      <c r="R55" s="584"/>
      <c r="S55" s="584"/>
      <c r="T55" s="584"/>
      <c r="U55" s="584"/>
      <c r="V55" s="584"/>
      <c r="W55" s="584"/>
      <c r="X55" s="584"/>
      <c r="Y55" s="584"/>
      <c r="Z55" s="584"/>
      <c r="AA55" s="584"/>
      <c r="AB55" s="584"/>
      <c r="AC55" s="584"/>
      <c r="AD55" s="584"/>
      <c r="AE55" s="584"/>
      <c r="AF55" s="584"/>
      <c r="AG55" s="584"/>
      <c r="AH55" s="584"/>
      <c r="AI55" s="585"/>
    </row>
  </sheetData>
  <sheetProtection algorithmName="SHA-512" hashValue="ToxHs2WctQTs7YII0W39jV52iA3bJ7NG4QUrMLL3XCFtvkEputgWw+xeK+3OnQUIugiS7F/n9TzRdBFtQUzO8w==" saltValue="2gkG827pk6aNSD4OMDKj2w==" spinCount="100000" sheet="1" objects="1" scenarios="1"/>
  <mergeCells count="37">
    <mergeCell ref="B33:AI55"/>
    <mergeCell ref="A31:AJ31"/>
    <mergeCell ref="B26:F26"/>
    <mergeCell ref="G26:M26"/>
    <mergeCell ref="N26:AJ26"/>
    <mergeCell ref="B27:AJ27"/>
    <mergeCell ref="B28:F28"/>
    <mergeCell ref="G28:H28"/>
    <mergeCell ref="I28:AJ28"/>
    <mergeCell ref="B29:F29"/>
    <mergeCell ref="N29:AJ29"/>
    <mergeCell ref="B30:F30"/>
    <mergeCell ref="G30:AJ30"/>
    <mergeCell ref="S17:V18"/>
    <mergeCell ref="W17:AJ18"/>
    <mergeCell ref="A20:AJ20"/>
    <mergeCell ref="A23:A30"/>
    <mergeCell ref="G25:M25"/>
    <mergeCell ref="K24:AJ24"/>
    <mergeCell ref="B23:F23"/>
    <mergeCell ref="K23:AJ23"/>
    <mergeCell ref="AB2:AJ2"/>
    <mergeCell ref="B24:F24"/>
    <mergeCell ref="B25:F25"/>
    <mergeCell ref="N13:R18"/>
    <mergeCell ref="S13:V14"/>
    <mergeCell ref="W13:AJ14"/>
    <mergeCell ref="S15:V16"/>
    <mergeCell ref="A3:AJ5"/>
    <mergeCell ref="N7:R8"/>
    <mergeCell ref="S7:AJ8"/>
    <mergeCell ref="N9:R10"/>
    <mergeCell ref="S9:AJ10"/>
    <mergeCell ref="N11:R12"/>
    <mergeCell ref="N25:AJ25"/>
    <mergeCell ref="S11:AJ12"/>
    <mergeCell ref="W15:AJ16"/>
  </mergeCells>
  <phoneticPr fontId="1"/>
  <conditionalFormatting sqref="AK22">
    <cfRule type="containsText" dxfId="38" priority="1" operator="containsText" text="不十分">
      <formula>NOT(ISERROR(SEARCH("不十分",AK22)))</formula>
    </cfRule>
    <cfRule type="containsText" dxfId="37" priority="2" operator="containsText" text="藤生bん">
      <formula>NOT(ISERROR(SEARCH("藤生bん",AK22)))</formula>
    </cfRule>
  </conditionalFormatting>
  <dataValidations count="4">
    <dataValidation allowBlank="1" showInputMessage="1" showErrorMessage="1" errorTitle="指定口座への振り込みが希望されています。" error="国保連登録口座以外への振込を希望する際は上段で「希望する」を選択してください。" promptTitle="金融機関名の入力" prompt="略称等は用いず、正式な名称を誤りのないように入力してください。" sqref="G25" xr:uid="{00000000-0002-0000-0200-000000000000}"/>
    <dataValidation type="custom" imeMode="halfAlpha"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29:M29" xr:uid="{00000000-0002-0000-0200-000001000000}">
      <formula1>AND(LENB(G29:M29)=LEN(G29:M29))</formula1>
    </dataValidation>
    <dataValidation type="custom"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24:I24" xr:uid="{00000000-0002-0000-0200-000002000000}">
      <formula1>AND(LENB(G24:I24)=LEN(G24:I24))</formula1>
    </dataValidation>
    <dataValidation type="custom"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23:J23" xr:uid="{00000000-0002-0000-0200-000003000000}">
      <formula1>AND(LENB(D23:G23)=LEN(D23:G23))</formula1>
    </dataValidation>
  </dataValidations>
  <pageMargins left="0.7" right="0.7" top="0.75" bottom="0.75" header="0.3" footer="0.3"/>
  <pageSetup paperSize="9" scale="61"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dimension ref="A1:M45"/>
  <sheetViews>
    <sheetView showGridLines="0" view="pageBreakPreview" zoomScale="40" zoomScaleNormal="100" zoomScaleSheetLayoutView="40" workbookViewId="0">
      <pane ySplit="4" topLeftCell="A5" activePane="bottomLeft" state="frozen"/>
      <selection pane="bottomLeft" activeCell="F6" sqref="F6:I10"/>
    </sheetView>
  </sheetViews>
  <sheetFormatPr defaultColWidth="8.625" defaultRowHeight="35.25" x14ac:dyDescent="0.4"/>
  <cols>
    <col min="1" max="4" width="15.625" style="149" customWidth="1"/>
    <col min="5" max="5" width="30.625" style="149" customWidth="1"/>
    <col min="6" max="9" width="15.625" style="149" customWidth="1"/>
    <col min="10" max="12" width="8.625" style="149"/>
    <col min="13" max="13" width="90.625" style="149" customWidth="1"/>
    <col min="14" max="16384" width="8.625" style="149"/>
  </cols>
  <sheetData>
    <row r="1" spans="1:9" ht="45" customHeight="1" x14ac:dyDescent="0.4">
      <c r="F1" s="600" t="str">
        <f>"《２次募集》"&amp;表紙!AN53</f>
        <v>《２次募集》</v>
      </c>
      <c r="G1" s="601"/>
      <c r="H1" s="601"/>
      <c r="I1" s="601"/>
    </row>
    <row r="2" spans="1:9" ht="45" customHeight="1" x14ac:dyDescent="0.4"/>
    <row r="3" spans="1:9" ht="45" customHeight="1" x14ac:dyDescent="0.4">
      <c r="I3" s="150" t="s">
        <v>175</v>
      </c>
    </row>
    <row r="4" spans="1:9" ht="45" customHeight="1" x14ac:dyDescent="0.4">
      <c r="A4" s="606" t="s">
        <v>176</v>
      </c>
      <c r="B4" s="607"/>
      <c r="C4" s="607"/>
    </row>
    <row r="5" spans="1:9" ht="45" customHeight="1" x14ac:dyDescent="0.4"/>
    <row r="6" spans="1:9" ht="45" customHeight="1" x14ac:dyDescent="0.4">
      <c r="E6" s="621" t="s">
        <v>177</v>
      </c>
      <c r="F6" s="602" t="str">
        <f>IF(はじめに入力してください!H9="","",はじめに入力してください!H9)</f>
        <v/>
      </c>
      <c r="G6" s="603"/>
      <c r="H6" s="603"/>
      <c r="I6" s="603"/>
    </row>
    <row r="7" spans="1:9" ht="45" customHeight="1" x14ac:dyDescent="0.4">
      <c r="E7" s="622"/>
      <c r="F7" s="603"/>
      <c r="G7" s="603"/>
      <c r="H7" s="603"/>
      <c r="I7" s="603"/>
    </row>
    <row r="8" spans="1:9" ht="45" customHeight="1" x14ac:dyDescent="0.4">
      <c r="E8" s="151" t="s">
        <v>11</v>
      </c>
      <c r="F8" s="602" t="str">
        <f>IF(はじめに入力してください!H6="","",はじめに入力してください!H6)</f>
        <v/>
      </c>
      <c r="G8" s="603"/>
      <c r="H8" s="603"/>
      <c r="I8" s="603"/>
    </row>
    <row r="9" spans="1:9" ht="45" customHeight="1" x14ac:dyDescent="0.4">
      <c r="E9" s="151" t="s">
        <v>39</v>
      </c>
      <c r="F9" s="602" t="str">
        <f>IF(はじめに入力してください!H7&amp;"　"&amp;はじめに入力してください!H8="","",はじめに入力してください!H7&amp;"　"&amp;はじめに入力してください!H8)</f>
        <v>　</v>
      </c>
      <c r="G9" s="603"/>
      <c r="H9" s="603"/>
      <c r="I9" s="603"/>
    </row>
    <row r="10" spans="1:9" ht="45" customHeight="1" x14ac:dyDescent="0.4">
      <c r="E10" s="151" t="s">
        <v>142</v>
      </c>
      <c r="F10" s="602" t="str">
        <f>IF(はじめに入力してください!H10="","",はじめに入力してください!H10)</f>
        <v/>
      </c>
      <c r="G10" s="603"/>
      <c r="H10" s="603"/>
      <c r="I10" s="603"/>
    </row>
    <row r="11" spans="1:9" ht="45" customHeight="1" x14ac:dyDescent="0.4"/>
    <row r="12" spans="1:9" ht="45" customHeight="1" x14ac:dyDescent="0.4">
      <c r="A12" s="604" t="s">
        <v>178</v>
      </c>
      <c r="B12" s="605"/>
      <c r="C12" s="605"/>
      <c r="D12" s="605"/>
      <c r="E12" s="605"/>
      <c r="F12" s="605"/>
      <c r="G12" s="605"/>
      <c r="H12" s="605"/>
      <c r="I12" s="605"/>
    </row>
    <row r="13" spans="1:9" ht="45" customHeight="1" x14ac:dyDescent="0.4">
      <c r="A13" s="605"/>
      <c r="B13" s="605"/>
      <c r="C13" s="605"/>
      <c r="D13" s="605"/>
      <c r="E13" s="605"/>
      <c r="F13" s="605"/>
      <c r="G13" s="605"/>
      <c r="H13" s="605"/>
      <c r="I13" s="605"/>
    </row>
    <row r="14" spans="1:9" ht="45" customHeight="1" x14ac:dyDescent="0.4"/>
    <row r="15" spans="1:9" ht="45" customHeight="1" x14ac:dyDescent="0.4">
      <c r="A15" s="617" t="s">
        <v>184</v>
      </c>
      <c r="B15" s="618"/>
      <c r="C15" s="618"/>
      <c r="D15" s="618"/>
      <c r="E15" s="618"/>
      <c r="F15" s="618"/>
      <c r="G15" s="618"/>
      <c r="H15" s="618"/>
      <c r="I15" s="618"/>
    </row>
    <row r="16" spans="1:9" ht="45" customHeight="1" x14ac:dyDescent="0.4">
      <c r="A16" s="618"/>
      <c r="B16" s="618"/>
      <c r="C16" s="618"/>
      <c r="D16" s="618"/>
      <c r="E16" s="618"/>
      <c r="F16" s="618"/>
      <c r="G16" s="618"/>
      <c r="H16" s="618"/>
      <c r="I16" s="618"/>
    </row>
    <row r="17" spans="1:13" ht="45" customHeight="1" x14ac:dyDescent="0.4">
      <c r="A17" s="619" t="s">
        <v>16</v>
      </c>
      <c r="B17" s="620"/>
      <c r="C17" s="620"/>
      <c r="D17" s="620"/>
      <c r="E17" s="620"/>
      <c r="F17" s="620"/>
      <c r="G17" s="620"/>
      <c r="H17" s="620"/>
      <c r="I17" s="620"/>
    </row>
    <row r="18" spans="1:13" ht="45" customHeight="1" x14ac:dyDescent="0.4">
      <c r="A18" s="149" t="s">
        <v>179</v>
      </c>
    </row>
    <row r="19" spans="1:13" ht="45" customHeight="1" x14ac:dyDescent="0.4">
      <c r="A19" s="149" t="str">
        <f>IF(表紙!H20="金　　　　　　　　　円","　　金　　　　　　　　　円","　　金"&amp;TEXT(表紙!H20,"#,###")&amp;"円")</f>
        <v>　　金　　　　　　　　　円</v>
      </c>
    </row>
    <row r="20" spans="1:13" ht="45" customHeight="1" x14ac:dyDescent="0.4"/>
    <row r="21" spans="1:13" ht="45" customHeight="1" x14ac:dyDescent="0.4">
      <c r="A21" s="149" t="s">
        <v>180</v>
      </c>
    </row>
    <row r="22" spans="1:13" ht="45" customHeight="1" x14ac:dyDescent="0.4">
      <c r="B22" s="611" t="s">
        <v>181</v>
      </c>
      <c r="C22" s="612"/>
      <c r="D22" s="613" t="str">
        <f>IFERROR(VLOOKUP(はじめに入力してください!L18,リスト!A:N,14,FALSE),"")</f>
        <v/>
      </c>
      <c r="E22" s="614"/>
      <c r="F22" s="614"/>
      <c r="G22" s="614"/>
      <c r="H22" s="614"/>
    </row>
    <row r="23" spans="1:13" ht="45" customHeight="1" x14ac:dyDescent="0.4">
      <c r="B23" s="611" t="s">
        <v>143</v>
      </c>
      <c r="C23" s="612"/>
      <c r="D23" s="613" t="str">
        <f>IFERROR(VLOOKUP(はじめに入力してください!L18,リスト!A:O,15,FALSE),"")</f>
        <v/>
      </c>
      <c r="E23" s="614"/>
      <c r="F23" s="614"/>
      <c r="G23" s="614"/>
      <c r="H23" s="614"/>
    </row>
    <row r="24" spans="1:13" ht="45" customHeight="1" x14ac:dyDescent="0.4">
      <c r="B24" s="611" t="s">
        <v>182</v>
      </c>
      <c r="C24" s="612"/>
      <c r="D24" s="613" t="str">
        <f>IFERROR(VLOOKUP(はじめに入力してください!L18,リスト!A:P,16,FALSE),"")</f>
        <v/>
      </c>
      <c r="E24" s="614"/>
      <c r="F24" s="614"/>
      <c r="G24" s="614"/>
      <c r="H24" s="614"/>
    </row>
    <row r="25" spans="1:13" ht="45" customHeight="1" x14ac:dyDescent="0.4">
      <c r="B25" s="611" t="s">
        <v>144</v>
      </c>
      <c r="C25" s="612"/>
      <c r="D25" s="615"/>
      <c r="E25" s="616"/>
      <c r="F25" s="616"/>
      <c r="G25" s="616"/>
      <c r="H25" s="616"/>
    </row>
    <row r="26" spans="1:13" ht="45" customHeight="1" x14ac:dyDescent="0.4"/>
    <row r="27" spans="1:13" ht="45" customHeight="1" x14ac:dyDescent="0.4"/>
    <row r="28" spans="1:13" ht="45" customHeight="1" x14ac:dyDescent="0.4"/>
    <row r="29" spans="1:13" ht="45" customHeight="1" x14ac:dyDescent="0.4"/>
    <row r="30" spans="1:13" ht="45" customHeight="1" x14ac:dyDescent="0.4"/>
    <row r="31" spans="1:13" ht="45" customHeight="1" x14ac:dyDescent="0.4"/>
    <row r="32" spans="1:13" ht="45" customHeight="1" x14ac:dyDescent="0.4">
      <c r="L32" s="187" t="s">
        <v>198</v>
      </c>
      <c r="M32" s="187" t="s">
        <v>199</v>
      </c>
    </row>
    <row r="33" spans="12:13" ht="45" customHeight="1" x14ac:dyDescent="0.4">
      <c r="L33" s="608" t="str">
        <f>IF(LEN(D25)=7,"○","×")</f>
        <v>×</v>
      </c>
      <c r="M33" s="609" t="str">
        <f>IF(LEN(D25)=7,"適切に入力がされました。"&amp;CHAR(10)&amp;"※右肩の日付は入力しないでください。",
"【要修正】７桁の振込先口座番号を入力してください。"&amp;CHAR(10)&amp;"※先頭が０の場合も必ず入力してください。"&amp;CHAR(10)&amp;"※右肩の日付は入力しないでください。")</f>
        <v>【要修正】７桁の振込先口座番号を入力してください。
※先頭が０の場合も必ず入力してください。
※右肩の日付は入力しないでください。</v>
      </c>
    </row>
    <row r="34" spans="12:13" ht="45" customHeight="1" x14ac:dyDescent="0.4">
      <c r="L34" s="439"/>
      <c r="M34" s="610"/>
    </row>
    <row r="35" spans="12:13" ht="45" customHeight="1" x14ac:dyDescent="0.4"/>
    <row r="36" spans="12:13" ht="45" customHeight="1" x14ac:dyDescent="0.4"/>
    <row r="37" spans="12:13" ht="45" customHeight="1" x14ac:dyDescent="0.4"/>
    <row r="38" spans="12:13" ht="45" customHeight="1" x14ac:dyDescent="0.4"/>
    <row r="39" spans="12:13" ht="45" customHeight="1" x14ac:dyDescent="0.4"/>
    <row r="40" spans="12:13" ht="45" customHeight="1" x14ac:dyDescent="0.4"/>
    <row r="41" spans="12:13" ht="45" customHeight="1" x14ac:dyDescent="0.4"/>
    <row r="42" spans="12:13" ht="45" customHeight="1" x14ac:dyDescent="0.4"/>
    <row r="43" spans="12:13" ht="45" customHeight="1" x14ac:dyDescent="0.4"/>
    <row r="44" spans="12:13" ht="45" customHeight="1" x14ac:dyDescent="0.4"/>
    <row r="45" spans="12:13" ht="45" customHeight="1" x14ac:dyDescent="0.4"/>
  </sheetData>
  <sheetProtection algorithmName="SHA-512" hashValue="wtnQOMTEOnPGZG65jqVGBBawPp9HBKmao6a8sM5oJtVlOvEwELHrfN5zxniKwN4LAQrmETXqMsUJrAkjxpsD6A==" saltValue="C63bEJmffGZmVub58mKc8g==" spinCount="100000" sheet="1" objects="1" scenarios="1"/>
  <mergeCells count="20">
    <mergeCell ref="A12:I13"/>
    <mergeCell ref="A4:C4"/>
    <mergeCell ref="L33:L34"/>
    <mergeCell ref="M33:M34"/>
    <mergeCell ref="B25:C25"/>
    <mergeCell ref="D22:H22"/>
    <mergeCell ref="D23:H23"/>
    <mergeCell ref="D24:H24"/>
    <mergeCell ref="D25:H25"/>
    <mergeCell ref="B24:C24"/>
    <mergeCell ref="A15:I16"/>
    <mergeCell ref="A17:I17"/>
    <mergeCell ref="B22:C22"/>
    <mergeCell ref="B23:C23"/>
    <mergeCell ref="E6:E7"/>
    <mergeCell ref="F1:I1"/>
    <mergeCell ref="F6:I7"/>
    <mergeCell ref="F8:I8"/>
    <mergeCell ref="F9:I9"/>
    <mergeCell ref="F10:I10"/>
  </mergeCells>
  <phoneticPr fontId="1"/>
  <conditionalFormatting sqref="L33:L34">
    <cfRule type="containsText" dxfId="36" priority="2" operator="containsText" text="×">
      <formula>NOT(ISERROR(SEARCH("×",L33)))</formula>
    </cfRule>
  </conditionalFormatting>
  <conditionalFormatting sqref="M33:M34">
    <cfRule type="containsText" dxfId="35" priority="1" operator="containsText" text="要修正">
      <formula>NOT(ISERROR(SEARCH("要修正",M33)))</formula>
    </cfRule>
  </conditionalFormatting>
  <pageMargins left="0.7" right="0.7" top="0.75" bottom="0.75" header="0.3" footer="0.3"/>
  <pageSetup paperSize="9" scale="51"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BB56"/>
  <sheetViews>
    <sheetView showGridLines="0" view="pageBreakPreview" zoomScaleNormal="100" zoomScaleSheetLayoutView="100" workbookViewId="0">
      <selection activeCell="W22" sqref="W22"/>
    </sheetView>
  </sheetViews>
  <sheetFormatPr defaultColWidth="5.625" defaultRowHeight="20.100000000000001" customHeight="1" x14ac:dyDescent="0.4"/>
  <cols>
    <col min="1" max="1" width="2.625" style="1" customWidth="1"/>
    <col min="2" max="18" width="4.625" style="1" customWidth="1"/>
    <col min="19" max="19" width="2.625" style="1" customWidth="1"/>
    <col min="20" max="20" width="1.75" style="1" customWidth="1"/>
    <col min="21" max="25" width="10.125" style="1" customWidth="1"/>
    <col min="26" max="26" width="7" style="1" customWidth="1"/>
    <col min="27" max="38" width="10.25" style="1" customWidth="1"/>
    <col min="39" max="39" width="4.625" style="1" customWidth="1"/>
    <col min="40" max="41" width="10.625" style="1" customWidth="1"/>
    <col min="42" max="42" width="4.625" style="1" customWidth="1"/>
    <col min="43" max="44" width="10.25" style="1" customWidth="1"/>
    <col min="45" max="47" width="6.625" style="1" customWidth="1"/>
    <col min="48" max="54" width="10.25" style="1" customWidth="1"/>
    <col min="55" max="16384" width="5.625" style="1"/>
  </cols>
  <sheetData>
    <row r="1" spans="1:54" ht="9.9499999999999993" customHeight="1" x14ac:dyDescent="0.4"/>
    <row r="2" spans="1:54" ht="15.95" customHeight="1" x14ac:dyDescent="0.4">
      <c r="O2" s="623" t="str">
        <f>"《２次募集》"&amp;はじめに入力してください!AG18</f>
        <v>《２次募集》</v>
      </c>
      <c r="P2" s="541"/>
      <c r="Q2" s="541"/>
      <c r="R2" s="541"/>
      <c r="S2" s="541"/>
    </row>
    <row r="3" spans="1:54" ht="15.95" customHeight="1" x14ac:dyDescent="0.4">
      <c r="B3" s="1" t="str">
        <f xml:space="preserve">
IF(テーブル!B3=テーブル!D3,"様式１",
IF(テーブル!B3=テーブル!D6,"様式１",
IF(テーブル!B3=テーブル!D4,"様式２",
IF(テーブル!B3=テーブル!D5,"様式３"))))</f>
        <v>様式３</v>
      </c>
    </row>
    <row r="4" spans="1:54" ht="15.95" customHeight="1" x14ac:dyDescent="0.4">
      <c r="N4" s="635" t="str">
        <f>IF(はじめに入力してください!H13="","",はじめに入力してください!H13)</f>
        <v/>
      </c>
      <c r="O4" s="635"/>
      <c r="P4" s="635"/>
      <c r="Q4" s="635"/>
      <c r="R4" s="625"/>
      <c r="Z4" s="247"/>
      <c r="AA4" s="247"/>
      <c r="AB4" s="248"/>
      <c r="AC4" s="247"/>
      <c r="AD4" s="249"/>
      <c r="AE4" s="249"/>
      <c r="AF4" s="249"/>
      <c r="AG4" s="247"/>
      <c r="AH4" s="247"/>
      <c r="AI4" s="249"/>
      <c r="AJ4" s="249"/>
      <c r="AK4" s="250"/>
      <c r="AL4" s="250"/>
      <c r="AM4" s="250"/>
      <c r="AN4" s="250"/>
      <c r="AO4" s="250"/>
      <c r="AP4" s="250"/>
      <c r="AQ4" s="250"/>
      <c r="AR4" s="250"/>
      <c r="AS4" s="249"/>
      <c r="AT4" s="251"/>
      <c r="AU4" s="251"/>
      <c r="AV4" s="207"/>
      <c r="AW4" s="207"/>
      <c r="AX4" s="207"/>
      <c r="AY4" s="207"/>
      <c r="AZ4" s="207"/>
      <c r="BA4" s="74"/>
      <c r="BB4" s="74"/>
    </row>
    <row r="5" spans="1:54" ht="15.95" customHeight="1" x14ac:dyDescent="0.4">
      <c r="N5" s="639" t="str">
        <f>IF(COUNTA(はじめに入力してください!I12,はじめに入力してください!K12,はじめに入力してください!M12)&lt;&gt;3,
"令和　年　月　　日",
はじめに入力してください!H12&amp;はじめに入力してください!I12&amp;はじめに入力してください!J12&amp;はじめに入力してください!K12&amp;はじめに入力してください!L12&amp;はじめに入力してください!M12&amp;はじめに入力してください!N12)</f>
        <v>令和　年　月　　日</v>
      </c>
      <c r="O5" s="640"/>
      <c r="P5" s="640"/>
      <c r="Q5" s="640"/>
      <c r="R5" s="641"/>
      <c r="Z5" s="247"/>
      <c r="AA5" s="247"/>
      <c r="AB5" s="248"/>
      <c r="AC5" s="247"/>
      <c r="AD5" s="249"/>
      <c r="AE5" s="249"/>
      <c r="AF5" s="249"/>
      <c r="AG5" s="247"/>
      <c r="AH5" s="247"/>
      <c r="AI5" s="249"/>
      <c r="AJ5" s="249"/>
      <c r="AK5" s="252"/>
      <c r="AL5" s="253"/>
      <c r="AM5" s="252"/>
      <c r="AN5" s="253"/>
      <c r="AO5" s="250"/>
      <c r="AP5" s="252"/>
      <c r="AQ5" s="253"/>
      <c r="AR5" s="250"/>
      <c r="AS5" s="249"/>
      <c r="AT5" s="251"/>
      <c r="AU5" s="251"/>
      <c r="AV5" s="207"/>
      <c r="AW5" s="207"/>
      <c r="AX5" s="207"/>
      <c r="AY5" s="207"/>
      <c r="AZ5" s="207"/>
      <c r="BA5" s="74"/>
      <c r="BB5" s="74"/>
    </row>
    <row r="6" spans="1:54" ht="15.95" customHeight="1" x14ac:dyDescent="0.4">
      <c r="B6" s="645" t="s">
        <v>13</v>
      </c>
      <c r="C6" s="645"/>
      <c r="D6" s="645"/>
      <c r="E6" s="645"/>
      <c r="F6" s="645"/>
      <c r="G6" s="645"/>
      <c r="Z6" s="254"/>
      <c r="AA6" s="207"/>
      <c r="AB6" s="207"/>
      <c r="AC6" s="255"/>
      <c r="AD6" s="255"/>
      <c r="AE6" s="255"/>
      <c r="AF6" s="255"/>
      <c r="AG6" s="255"/>
      <c r="AH6" s="255"/>
      <c r="AI6" s="255"/>
      <c r="AJ6" s="255"/>
      <c r="AK6" s="255"/>
      <c r="AL6" s="255"/>
      <c r="AM6" s="255"/>
      <c r="AN6" s="255"/>
      <c r="AO6" s="255"/>
      <c r="AP6" s="255"/>
      <c r="AQ6" s="255"/>
      <c r="AR6" s="255"/>
      <c r="AS6" s="207"/>
      <c r="AT6" s="256"/>
      <c r="AU6" s="207"/>
      <c r="AV6" s="207"/>
      <c r="AW6" s="207"/>
      <c r="AX6" s="207"/>
      <c r="AY6" s="207"/>
      <c r="AZ6" s="207"/>
      <c r="BA6" s="207"/>
      <c r="BB6" s="207"/>
    </row>
    <row r="7" spans="1:54" ht="15.95" customHeight="1" x14ac:dyDescent="0.4">
      <c r="Z7" s="207"/>
      <c r="AA7" s="207"/>
      <c r="AB7" s="207"/>
      <c r="AC7" s="207"/>
      <c r="AD7" s="207"/>
      <c r="AE7" s="207"/>
      <c r="AF7" s="207"/>
      <c r="AG7" s="207"/>
      <c r="AH7" s="207"/>
      <c r="AI7" s="207"/>
      <c r="AJ7" s="207"/>
      <c r="AK7" s="207"/>
      <c r="AL7" s="207"/>
      <c r="AM7" s="207"/>
      <c r="AN7" s="207"/>
      <c r="AO7" s="207"/>
      <c r="AP7" s="207"/>
      <c r="AQ7" s="207"/>
      <c r="AR7" s="207"/>
      <c r="AS7" s="207"/>
      <c r="AT7" s="207"/>
      <c r="AU7" s="207"/>
      <c r="AV7" s="207"/>
      <c r="AW7" s="207"/>
      <c r="AX7" s="207"/>
      <c r="AY7" s="207"/>
      <c r="AZ7" s="207"/>
      <c r="BA7" s="207"/>
      <c r="BB7" s="207"/>
    </row>
    <row r="8" spans="1:54" ht="15.95" customHeight="1" x14ac:dyDescent="0.4">
      <c r="I8" s="631" t="s">
        <v>59</v>
      </c>
      <c r="J8" s="631"/>
      <c r="K8" s="631"/>
      <c r="L8" s="646" t="str">
        <f>IF(はじめに入力してください!H9=0,"",はじめに入力してください!H9)</f>
        <v/>
      </c>
      <c r="M8" s="646"/>
      <c r="N8" s="646"/>
      <c r="O8" s="646"/>
      <c r="P8" s="646"/>
      <c r="Q8" s="646"/>
      <c r="R8" s="646"/>
      <c r="Z8" s="207"/>
      <c r="AA8" s="257"/>
      <c r="AB8" s="257"/>
      <c r="AC8" s="257"/>
      <c r="AD8" s="257"/>
      <c r="AE8" s="257"/>
      <c r="AF8" s="257"/>
      <c r="AG8" s="257"/>
      <c r="AH8" s="207"/>
      <c r="AI8" s="207"/>
      <c r="AJ8" s="207"/>
      <c r="AK8" s="207"/>
      <c r="AL8" s="207"/>
      <c r="AM8" s="207"/>
      <c r="AN8" s="207"/>
      <c r="AO8" s="207"/>
      <c r="AP8" s="207"/>
      <c r="AQ8" s="207"/>
      <c r="AR8" s="207"/>
      <c r="AS8" s="207"/>
      <c r="AT8" s="207"/>
      <c r="AU8" s="207"/>
      <c r="AV8" s="207"/>
      <c r="AW8" s="207"/>
      <c r="AX8" s="207"/>
      <c r="AY8" s="207"/>
      <c r="AZ8" s="207"/>
      <c r="BA8" s="207"/>
      <c r="BB8" s="207"/>
    </row>
    <row r="9" spans="1:54" ht="15.95" customHeight="1" x14ac:dyDescent="0.4">
      <c r="I9" s="631" t="s">
        <v>11</v>
      </c>
      <c r="J9" s="631"/>
      <c r="K9" s="631"/>
      <c r="L9" s="646" t="str">
        <f xml:space="preserve">
IF(はじめに入力してください!O3="×","",
IF(はじめに入力してください!O3="○"&amp;CHAR(10)&amp;"（個人）",はじめに入力してください!H6,
IF(はじめに入力してください!O3="○"&amp;CHAR(10)&amp;"（法人）",はじめに入力してください!H6&amp;"("&amp;はじめに入力してください!H10&amp;")",
IF(はじめに入力してください!O3="○"&amp;CHAR(10)&amp;"（公立）",はじめに入力してください!H6&amp;"("&amp;はじめに入力してください!H10&amp;")"))))</f>
        <v/>
      </c>
      <c r="M9" s="646"/>
      <c r="N9" s="646"/>
      <c r="O9" s="646"/>
      <c r="P9" s="646"/>
      <c r="Q9" s="646"/>
      <c r="R9" s="646"/>
      <c r="Z9" s="207"/>
      <c r="AA9" s="257"/>
      <c r="AB9" s="257"/>
      <c r="AC9" s="257"/>
      <c r="AD9" s="257"/>
      <c r="AE9" s="257"/>
      <c r="AF9" s="257"/>
      <c r="AG9" s="257"/>
      <c r="AH9" s="207"/>
      <c r="AI9" s="207"/>
      <c r="AJ9" s="207"/>
      <c r="AK9" s="207"/>
      <c r="AL9" s="207"/>
      <c r="AM9" s="207"/>
      <c r="AN9" s="207"/>
      <c r="AO9" s="207"/>
      <c r="AP9" s="207"/>
      <c r="AQ9" s="207"/>
      <c r="AR9" s="207"/>
      <c r="AS9" s="207"/>
      <c r="AT9" s="207"/>
      <c r="AU9" s="207"/>
      <c r="AV9" s="207"/>
      <c r="AW9" s="207"/>
      <c r="AX9" s="207"/>
      <c r="AY9" s="207"/>
      <c r="AZ9" s="207"/>
      <c r="BA9" s="207"/>
      <c r="BB9" s="207"/>
    </row>
    <row r="10" spans="1:54" ht="15.95" customHeight="1" x14ac:dyDescent="0.4">
      <c r="I10" s="631" t="s">
        <v>39</v>
      </c>
      <c r="J10" s="631"/>
      <c r="K10" s="631"/>
      <c r="L10" s="647" t="str">
        <f>はじめに入力してください!H7&amp;"　"&amp;はじめに入力してください!H8</f>
        <v>　</v>
      </c>
      <c r="M10" s="647"/>
      <c r="N10" s="647"/>
      <c r="O10" s="647"/>
      <c r="P10" s="647"/>
      <c r="Q10" s="647"/>
      <c r="R10" s="64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7"/>
      <c r="AY10" s="207"/>
      <c r="AZ10" s="207"/>
      <c r="BA10" s="207"/>
      <c r="BB10" s="207"/>
    </row>
    <row r="11" spans="1:54" ht="9.9499999999999993" customHeight="1" x14ac:dyDescent="0.4"/>
    <row r="12" spans="1:54" ht="32.1" customHeight="1" x14ac:dyDescent="0.4">
      <c r="B12" s="633" t="str">
        <f xml:space="preserve">
IF(テーブル!B3=テーブル!D3,"　　　令和４年度　新型コロナウイルス感染症診療・検査医療機関設備整備費補助金"&amp;CHAR(10)&amp;"　　　交付申請書",
IF(テーブル!B3=テーブル!D6,"　　　令和４年度　新型コロナウイルス感染症診療・検査医療機関設備整備費補助金"&amp;CHAR(10)&amp;"　　　交付申請書",
IF(テーブル!B3=テーブル!D4,"　　　令和４年度　新型コロナウイルス感染症診療・検査医療機関設備整備費補助金"&amp;CHAR(10)&amp;"　　　変更交付申請書",
IF(テーブル!B3=テーブル!D5,"　　　令和４年度　新型コロナウイルス感染症診療・検査医療機関設備整備費補助金"&amp;CHAR(10)&amp;"　　　事業実績報告書"))))</f>
        <v>　　　令和４年度　新型コロナウイルス感染症診療・検査医療機関設備整備費補助金
　　　事業実績報告書</v>
      </c>
      <c r="C12" s="633"/>
      <c r="D12" s="633"/>
      <c r="E12" s="633"/>
      <c r="F12" s="633"/>
      <c r="G12" s="633"/>
      <c r="H12" s="633"/>
      <c r="I12" s="633"/>
      <c r="J12" s="633"/>
      <c r="K12" s="633"/>
      <c r="L12" s="633"/>
      <c r="M12" s="633"/>
      <c r="N12" s="633"/>
      <c r="O12" s="633"/>
      <c r="P12" s="633"/>
      <c r="Q12" s="633"/>
      <c r="R12" s="633"/>
    </row>
    <row r="13" spans="1:54" ht="9.9499999999999993" customHeight="1" x14ac:dyDescent="0.4"/>
    <row r="14" spans="1:54" ht="15.95" customHeight="1" x14ac:dyDescent="0.4">
      <c r="A14" s="634" t="str">
        <f xml:space="preserve">
IF(テーブル!B3=テーブル!D3,"　　このことについて、下記により申請します。",
IF(テーブル!B3=テーブル!D6,"　　このことについて、下記により申請します。",
IF(テーブル!B3=テーブル!D4,"　　このことについて、下記により申請します。",
IF(テーブル!B3=テーブル!D5,"　　このことについて、下記により提出します。"))))</f>
        <v>　　このことについて、下記により提出します。</v>
      </c>
      <c r="B14" s="632"/>
      <c r="C14" s="632"/>
      <c r="D14" s="632"/>
      <c r="E14" s="632"/>
      <c r="F14" s="632"/>
      <c r="G14" s="632"/>
      <c r="H14" s="632"/>
      <c r="I14" s="632"/>
      <c r="J14" s="632"/>
      <c r="K14" s="632"/>
      <c r="L14" s="632"/>
      <c r="M14" s="632"/>
      <c r="N14" s="632"/>
      <c r="O14" s="632"/>
      <c r="P14" s="632"/>
      <c r="Q14" s="632"/>
      <c r="R14" s="632"/>
      <c r="S14" s="632"/>
    </row>
    <row r="15" spans="1:54" ht="15.95" customHeight="1" x14ac:dyDescent="0.4">
      <c r="B15" s="631" t="s">
        <v>16</v>
      </c>
      <c r="C15" s="631"/>
      <c r="D15" s="631"/>
      <c r="E15" s="631"/>
      <c r="F15" s="631"/>
      <c r="G15" s="631"/>
      <c r="H15" s="631"/>
      <c r="I15" s="631"/>
      <c r="J15" s="631"/>
      <c r="K15" s="631"/>
      <c r="L15" s="631"/>
      <c r="M15" s="631"/>
      <c r="N15" s="631"/>
      <c r="O15" s="631"/>
      <c r="P15" s="631"/>
      <c r="Q15" s="631"/>
      <c r="R15" s="631"/>
    </row>
    <row r="16" spans="1:54" ht="18" customHeight="1" x14ac:dyDescent="0.4">
      <c r="B16" s="1" t="s">
        <v>40</v>
      </c>
      <c r="C16" s="180"/>
      <c r="D16" s="180"/>
      <c r="E16" s="180"/>
      <c r="F16" s="180"/>
      <c r="G16" s="180"/>
      <c r="H16" s="180"/>
      <c r="I16" s="180"/>
      <c r="J16" s="180"/>
      <c r="K16" s="180"/>
      <c r="L16" s="180"/>
      <c r="M16" s="180"/>
      <c r="N16" s="180"/>
      <c r="O16" s="180"/>
      <c r="P16" s="180"/>
      <c r="Q16" s="180"/>
      <c r="R16" s="180"/>
      <c r="V16" s="116"/>
      <c r="W16" s="117"/>
    </row>
    <row r="17" spans="1:23" ht="18" customHeight="1" x14ac:dyDescent="0.4">
      <c r="C17" s="632" t="str">
        <f>IF(はじめに入力してください!H10=0,"",はじめに入力してください!H10)</f>
        <v/>
      </c>
      <c r="D17" s="632"/>
      <c r="E17" s="632"/>
      <c r="F17" s="632"/>
      <c r="G17" s="632"/>
      <c r="H17" s="632"/>
      <c r="I17" s="632"/>
      <c r="J17" s="632"/>
      <c r="K17" s="632"/>
      <c r="L17" s="632"/>
      <c r="M17" s="632"/>
      <c r="N17" s="632"/>
      <c r="O17" s="632"/>
      <c r="P17" s="632"/>
      <c r="Q17" s="632"/>
      <c r="R17" s="632"/>
      <c r="V17" s="117"/>
      <c r="W17" s="117"/>
    </row>
    <row r="18" spans="1:23" ht="18" customHeight="1" x14ac:dyDescent="0.4">
      <c r="C18" s="632" t="str">
        <f>IF(はじめに入力してください!H11=0,"",はじめに入力してください!H11)</f>
        <v/>
      </c>
      <c r="D18" s="632"/>
      <c r="E18" s="632"/>
      <c r="F18" s="632"/>
      <c r="G18" s="632"/>
      <c r="H18" s="632"/>
      <c r="I18" s="632"/>
      <c r="J18" s="632"/>
      <c r="K18" s="632"/>
      <c r="L18" s="632"/>
      <c r="M18" s="632"/>
      <c r="N18" s="632"/>
      <c r="O18" s="632"/>
      <c r="P18" s="632"/>
      <c r="Q18" s="632"/>
      <c r="R18" s="632"/>
      <c r="V18" s="648"/>
      <c r="W18" s="648"/>
    </row>
    <row r="19" spans="1:23" ht="18" customHeight="1" x14ac:dyDescent="0.4">
      <c r="B19" s="634" t="str">
        <f xml:space="preserve">
IF(テーブル!B3=テーブル!D3,"２　補助金申請額",
IF(テーブル!B3=テーブル!D6,"２　補助金申請額",
IF(テーブル!B3=テーブル!D4,"２　補助額",
IF(テーブル!B3=テーブル!D5,"２　補助金精算額"))))</f>
        <v>２　補助金精算額</v>
      </c>
      <c r="C19" s="618"/>
      <c r="D19" s="618"/>
      <c r="E19" s="618"/>
      <c r="F19" s="618"/>
      <c r="G19" s="618"/>
      <c r="H19" s="618"/>
      <c r="I19" s="618"/>
      <c r="J19" s="618"/>
      <c r="K19" s="618"/>
      <c r="L19" s="618"/>
      <c r="M19" s="618"/>
      <c r="N19" s="618"/>
      <c r="O19" s="618"/>
      <c r="P19" s="618"/>
      <c r="Q19" s="618"/>
      <c r="R19" s="618"/>
      <c r="V19" s="648"/>
      <c r="W19" s="648"/>
    </row>
    <row r="20" spans="1:23" ht="18" customHeight="1" x14ac:dyDescent="0.4">
      <c r="C20" s="624" t="str">
        <f xml:space="preserve">
IF(テーブル!B3=テーブル!D3,"",
IF(テーブル!B3=テーブル!D6,"",
IF(テーブル!B3=テーブル!D4,"（１）申請額",
IF(テーブル!B3=テーブル!D5,""))))</f>
        <v/>
      </c>
      <c r="D20" s="625"/>
      <c r="E20" s="625"/>
      <c r="F20" s="625"/>
      <c r="H20" s="626" t="str">
        <f xml:space="preserve">
IF(AND(テーブル!B3="交付申請",はじめに入力してください!F32="×"),"金　　　　　　　　　円",
IF(AND(テーブル!B3="交付申請",はじめに入力してください!F32="○"),経費書!J17,
IF(AND(テーブル!B3="交付申請（２次以降）",はじめに入力してください!F32="×"),"金　　　　　　　　　円",
IF(AND(テーブル!B3="交付申請（２次以降）",はじめに入力してください!F32="○"),経費書!J17,
IF(AND(テーブル!B3="変更申請",はじめに入力してください!F32="×"),"金　　　　　　　　　円",
IF(AND(テーブル!B3="変更申請",はじめに入力してください!F32="○"),経費書!J17,
IF(AND(テーブル!B3="実績報告",はじめに入力してください!F32="×"),"金　　　　　　　　　円",
IF(AND(テーブル!B3="実績報告",はじめに入力してください!F32="○"),経費書!N17))))))))</f>
        <v>金　　　　　　　　　円</v>
      </c>
      <c r="I20" s="627"/>
      <c r="J20" s="627"/>
      <c r="K20" s="627"/>
      <c r="L20" s="628"/>
      <c r="M20" s="636" t="str">
        <f xml:space="preserve">
IF(AND(テーブル!B3="実績報告",はじめに入力してください!F32="×"),"",
IF(AND(テーブル!B3="実績報告",はじめに入力してください!F32="○"),IF(テーブル!B3="実績報告","　　交付決定額：　"&amp;TEXT(経費書!M17,"#,###円")&amp;CHAR(10)&amp;IF(経費書!M17=経費書!N17,"　→交付決定の額と一致","　→差　引　額："&amp;TEXT(経費書!M17-経費書!N17,"△"&amp;"#,##0円")))))</f>
        <v/>
      </c>
      <c r="N20" s="637"/>
      <c r="O20" s="637"/>
      <c r="P20" s="637"/>
      <c r="Q20" s="637"/>
      <c r="R20" s="637"/>
      <c r="S20" s="637"/>
      <c r="V20" s="117"/>
      <c r="W20" s="117"/>
    </row>
    <row r="21" spans="1:23" ht="18" customHeight="1" x14ac:dyDescent="0.4">
      <c r="C21" s="624" t="str">
        <f xml:space="preserve">
IF(テーブル!B3=テーブル!D3,"",
IF(テーブル!B3=テーブル!D6,"",
IF(テーブル!B3=テーブル!D4,"（２）既交付決定額",
IF(テーブル!B3=テーブル!D5,""))))</f>
        <v/>
      </c>
      <c r="D21" s="625"/>
      <c r="E21" s="625"/>
      <c r="F21" s="625"/>
      <c r="H21" s="630" t="str">
        <f xml:space="preserve">
IF(テーブル!B3=テーブル!D3,"",
IF(テーブル!B3=テーブル!D6,"",
IF(AND(テーブル!B3=テーブル!D4,はじめに入力してください!L18=""),"金　　　　　　　　　円",
IF(AND(テーブル!B3=テーブル!D4,はじめに入力してください!L18&lt;&gt;""),経費書!J18,
IF(テーブル!B3=テーブル!D5,"")))))</f>
        <v/>
      </c>
      <c r="I21" s="627"/>
      <c r="J21" s="627"/>
      <c r="K21" s="627"/>
      <c r="L21" s="628"/>
      <c r="M21" s="637"/>
      <c r="N21" s="637"/>
      <c r="O21" s="637"/>
      <c r="P21" s="637"/>
      <c r="Q21" s="637"/>
      <c r="R21" s="637"/>
      <c r="S21" s="637"/>
      <c r="V21" s="117"/>
      <c r="W21" s="117"/>
    </row>
    <row r="22" spans="1:23" ht="15.95" customHeight="1" x14ac:dyDescent="0.4">
      <c r="C22" s="624" t="str">
        <f xml:space="preserve">
IF(テーブル!B3=テーブル!D3,"",
IF(テーブル!B3=テーブル!D6,"",
IF(テーブル!B3=テーブル!D4,"（３）差引増減額",
IF(テーブル!B3=テーブル!D5,""))))</f>
        <v/>
      </c>
      <c r="D22" s="625"/>
      <c r="E22" s="625"/>
      <c r="F22" s="625"/>
      <c r="H22" s="629" t="str">
        <f xml:space="preserve">
IF(テーブル!B3=テーブル!D3,"",
IF(テーブル!B3=テーブル!D6,"",
IF(AND(テーブル!B3=テーブル!D4,はじめに入力してください!H25=""),"金　　　　　　　　　円",
IF(AND(テーブル!B3=テーブル!D4,はじめに入力してください!H25&lt;&gt;""),IFERROR(H20-H21,"金　　　　　　　　　円"),
IF(テーブル!B3=テーブル!D5,"")))))</f>
        <v/>
      </c>
      <c r="I22" s="627"/>
      <c r="J22" s="627"/>
      <c r="K22" s="627"/>
      <c r="L22" s="628"/>
      <c r="M22" s="189"/>
      <c r="N22" s="189"/>
      <c r="O22" s="189"/>
      <c r="P22" s="189"/>
    </row>
    <row r="23" spans="1:23" ht="15.95" customHeight="1" x14ac:dyDescent="0.4">
      <c r="B23" s="1" t="str">
        <f xml:space="preserve">
IF(テーブル!B3=テーブル!D3,"３　所要額調書（様式1-1）",
IF(テーブル!B3=テーブル!D6,"３　所要額調書（様式1-1）",
IF(テーブル!B3=テーブル!D4,"３　所要額調書（様式1-1）",
IF(テーブル!B3=テーブル!D5,"３　経費精算書（様式3-1）"))))</f>
        <v>３　経費精算書（様式3-1）</v>
      </c>
    </row>
    <row r="24" spans="1:23" ht="15.95" customHeight="1" x14ac:dyDescent="0.4">
      <c r="B24" s="78" t="str">
        <f xml:space="preserve">
IF(テーブル!B3=テーブル!D3,"４　設備整備基準算出内訳及び対象経費支出予定額内訳（様式1-2）",
IF(テーブル!B3=テーブル!D6,"４　設備整備基準算出内訳及び対象経費支出予定額内訳（様式1-2）",
IF(テーブル!B3=テーブル!D4,"４　設備整備基準算出内訳及び対象経費支出予定額内訳（様式1-2）",
IF(テーブル!B3=テーブル!D5,"４　設備整備基準算出内訳及び対象経費実支出額内訳（様式3-2）"))))</f>
        <v>４　設備整備基準算出内訳及び対象経費実支出額内訳（様式3-2）</v>
      </c>
    </row>
    <row r="25" spans="1:23" ht="15.95" customHeight="1" x14ac:dyDescent="0.4">
      <c r="B25" s="71" t="s">
        <v>41</v>
      </c>
      <c r="C25" s="72"/>
      <c r="D25" s="72"/>
      <c r="E25" s="72"/>
      <c r="F25" s="72"/>
      <c r="G25" s="72"/>
      <c r="H25" s="72"/>
      <c r="I25" s="72"/>
      <c r="J25" s="72"/>
      <c r="K25" s="72"/>
      <c r="L25" s="72"/>
      <c r="M25" s="72"/>
    </row>
    <row r="26" spans="1:23" ht="15.95" customHeight="1" x14ac:dyDescent="0.4">
      <c r="B26" s="643" t="str">
        <f xml:space="preserve">
IF(テーブル!B3=テーブル!D3,"（１）歳入歳出予算書（又は見込書）抄本（様式1-3）",
IF(テーブル!B3=テーブル!D6,"（１）歳入歳出予算書（又は見込書）抄本（様式1-3）",
IF(テーブル!B3=テーブル!D4,"（１）歳入歳出予算書（又は見込書）抄本（様式1-3）",
IF(テーブル!B3=テーブル!D5,"（１）歳入歳出決算書書（見込書）抄本（様式3-3）"))))</f>
        <v>（１）歳入歳出決算書書（見込書）抄本（様式3-3）</v>
      </c>
      <c r="C26" s="643"/>
      <c r="D26" s="643"/>
      <c r="E26" s="643"/>
      <c r="F26" s="643"/>
      <c r="G26" s="643"/>
      <c r="H26" s="643"/>
      <c r="I26" s="643"/>
      <c r="J26" s="643"/>
      <c r="K26" s="643"/>
      <c r="L26" s="643"/>
      <c r="M26" s="643"/>
      <c r="N26" s="643"/>
      <c r="O26" s="643"/>
      <c r="P26" s="643"/>
      <c r="Q26" s="643"/>
      <c r="R26" s="643"/>
    </row>
    <row r="27" spans="1:23" s="80" customFormat="1" ht="32.1" customHeight="1" x14ac:dyDescent="0.4">
      <c r="A27" s="181"/>
      <c r="B27" s="644" t="str">
        <f xml:space="preserve">
IF(テーブル!B3=テーブル!D3,"　　（注）公立医療機関に限る。"&amp;CHAR(10)&amp;"　　　　　予算書には、当該事業の補助対象事業に係る額を備考欄に記入すること。",
IF(テーブル!B3=テーブル!D6,"　　（注）公立医療機関に限る。"&amp;CHAR(10)&amp;"　　　　　予算書には、当該事業の補助対象事業に係る額を備考欄に記入すること。",
IF(テーブル!B3=テーブル!D4,"　　（注）公立医療機関に限る。"&amp;CHAR(10)&amp;"　　　　　予算書には、当該事業の補助対象事業に係る額を備考欄に記入すること。",
IF(テーブル!B3=テーブル!D5,"　　（注）公立医療機関に限る。"&amp;CHAR(10)&amp;"　　　　　決算書には、当該事業の補助対象事業に係る額を備考欄に記入すること。"))))</f>
        <v>　　（注）公立医療機関に限る。
　　　　　決算書には、当該事業の補助対象事業に係る額を備考欄に記入すること。</v>
      </c>
      <c r="C27" s="644"/>
      <c r="D27" s="644"/>
      <c r="E27" s="644"/>
      <c r="F27" s="644"/>
      <c r="G27" s="644"/>
      <c r="H27" s="644"/>
      <c r="I27" s="644"/>
      <c r="J27" s="644"/>
      <c r="K27" s="644"/>
      <c r="L27" s="644"/>
      <c r="M27" s="644"/>
      <c r="N27" s="644"/>
      <c r="O27" s="644"/>
      <c r="P27" s="644"/>
      <c r="Q27" s="644"/>
      <c r="R27" s="644"/>
      <c r="S27" s="181"/>
    </row>
    <row r="28" spans="1:23" s="80" customFormat="1" ht="15.95" customHeight="1" x14ac:dyDescent="0.4">
      <c r="A28" s="181"/>
      <c r="B28" s="643" t="str">
        <f xml:space="preserve">
IF(テーブル!B3=テーブル!D3,"（２）見積書の写し等整備品目の規格（型式）、数量、単価及び金額の確認資料",
IF(テーブル!B3=テーブル!D6,"（２）見積書の写し等整備品目の規格（型式）、数量、単価及び金額の確認資料",
IF(テーブル!B3=テーブル!D4,"（２）見積書の写し等整備品目の規格（型式）、数量、単価及び金額の確認資料",
IF(テーブル!B3=テーブル!D5,"（２）契約書及び納品書の写し、検収調書の写し等事業経費等を確認できる書類"))))</f>
        <v>（２）契約書及び納品書の写し、検収調書の写し等事業経費等を確認できる書類</v>
      </c>
      <c r="C28" s="643"/>
      <c r="D28" s="643"/>
      <c r="E28" s="643"/>
      <c r="F28" s="643"/>
      <c r="G28" s="643"/>
      <c r="H28" s="643"/>
      <c r="I28" s="643"/>
      <c r="J28" s="643"/>
      <c r="K28" s="643"/>
      <c r="L28" s="643"/>
      <c r="M28" s="643"/>
      <c r="N28" s="643"/>
      <c r="O28" s="643"/>
      <c r="P28" s="643"/>
      <c r="Q28" s="643"/>
      <c r="R28" s="643"/>
      <c r="S28" s="181"/>
    </row>
    <row r="29" spans="1:23" ht="15.95" customHeight="1" x14ac:dyDescent="0.4">
      <c r="B29" s="643" t="str">
        <f xml:space="preserve">
IF(テーブル!B3=テーブル!D3,"（３）簡易診療室関係の内容がわかる資料",
IF(テーブル!B3=テーブル!D6,"（３）簡易診療室関係の内容がわかる資料",
IF(テーブル!B3=テーブル!D4,"（３）簡易診療室関係の内容がわかる資料",
IF(テーブル!B3=テーブル!D5,"（３）簡易診療室関係"))))</f>
        <v>（３）簡易診療室関係</v>
      </c>
      <c r="C29" s="643"/>
      <c r="D29" s="643"/>
      <c r="E29" s="643"/>
      <c r="F29" s="643"/>
      <c r="G29" s="643"/>
      <c r="H29" s="643"/>
      <c r="I29" s="643"/>
      <c r="J29" s="643"/>
      <c r="K29" s="643"/>
      <c r="L29" s="643"/>
      <c r="M29" s="643"/>
      <c r="N29" s="643"/>
      <c r="O29" s="643"/>
      <c r="P29" s="643"/>
      <c r="Q29" s="643"/>
      <c r="R29" s="643"/>
    </row>
    <row r="30" spans="1:23" ht="15.95" customHeight="1" x14ac:dyDescent="0.4">
      <c r="B30" s="179"/>
      <c r="C30" s="654" t="str">
        <f xml:space="preserve">
IF(テーブル!B3=テーブル!D3,"・使用する場所",
IF(テーブル!B3=テーブル!D6,"・使用する場所",
IF(テーブル!B3=テーブル!D4,"・使用する場所",
IF(テーブル!B3=テーブル!D5,"事業の完成を確認できる全景及び室内主要部分の写真"))))</f>
        <v>事業の完成を確認できる全景及び室内主要部分の写真</v>
      </c>
      <c r="D30" s="654"/>
      <c r="E30" s="654"/>
      <c r="F30" s="654"/>
      <c r="G30" s="654"/>
      <c r="H30" s="654"/>
      <c r="I30" s="654"/>
      <c r="J30" s="655"/>
      <c r="K30" s="655"/>
      <c r="L30" s="655"/>
      <c r="M30" s="655"/>
      <c r="N30" s="656"/>
      <c r="O30" s="182"/>
      <c r="P30" s="182"/>
      <c r="Q30" s="182"/>
      <c r="R30" s="182"/>
      <c r="S30" s="2"/>
    </row>
    <row r="31" spans="1:23" ht="15.95" customHeight="1" x14ac:dyDescent="0.4">
      <c r="B31" s="179"/>
      <c r="C31" s="654" t="str">
        <f xml:space="preserve">
IF(テーブル!B3=テーブル!D3,"・設備の仕様",
IF(テーブル!B3=テーブル!D6,"・設備の仕様",
IF(テーブル!B3=テーブル!D4,"・設備の仕様",
IF(テーブル!B3=テーブル!D5,""))))</f>
        <v/>
      </c>
      <c r="D31" s="654"/>
      <c r="E31" s="654"/>
      <c r="F31" s="654"/>
      <c r="G31" s="654"/>
      <c r="H31" s="654"/>
      <c r="I31" s="654"/>
      <c r="J31" s="177"/>
      <c r="K31" s="177"/>
      <c r="L31" s="177"/>
      <c r="M31" s="177"/>
      <c r="N31" s="182"/>
      <c r="O31" s="182"/>
      <c r="P31" s="182"/>
      <c r="Q31" s="182"/>
      <c r="R31" s="182"/>
      <c r="S31" s="2"/>
    </row>
    <row r="32" spans="1:23" ht="15.95" customHeight="1" x14ac:dyDescent="0.4">
      <c r="B32" s="643" t="s">
        <v>44</v>
      </c>
      <c r="C32" s="654"/>
      <c r="D32" s="654"/>
      <c r="E32" s="654"/>
      <c r="F32" s="654"/>
      <c r="G32" s="654"/>
      <c r="H32" s="654"/>
      <c r="I32" s="654"/>
      <c r="J32" s="178"/>
      <c r="K32" s="178"/>
      <c r="L32" s="178"/>
      <c r="M32" s="178"/>
      <c r="N32" s="182"/>
      <c r="O32" s="658"/>
      <c r="P32" s="658"/>
      <c r="Q32" s="658"/>
      <c r="R32" s="658"/>
      <c r="S32" s="2"/>
    </row>
    <row r="33" spans="2:22" ht="15.95" customHeight="1" x14ac:dyDescent="0.4">
      <c r="B33" s="643"/>
      <c r="C33" s="654"/>
      <c r="D33" s="654"/>
      <c r="E33" s="654"/>
      <c r="F33" s="654"/>
      <c r="G33" s="654"/>
      <c r="H33" s="654"/>
      <c r="I33" s="654"/>
      <c r="J33" s="179"/>
      <c r="K33" s="179"/>
      <c r="L33" s="179"/>
      <c r="M33" s="179"/>
      <c r="N33" s="182"/>
      <c r="O33" s="658"/>
      <c r="P33" s="658"/>
      <c r="Q33" s="658"/>
      <c r="R33" s="658"/>
      <c r="S33" s="2"/>
    </row>
    <row r="34" spans="2:22" ht="15.95" customHeight="1" x14ac:dyDescent="0.4">
      <c r="N34" s="182"/>
      <c r="O34" s="182"/>
      <c r="P34" s="182"/>
      <c r="Q34" s="182"/>
      <c r="R34" s="182"/>
      <c r="S34" s="2"/>
      <c r="V34" s="81" t="s">
        <v>160</v>
      </c>
    </row>
    <row r="35" spans="2:22" ht="15.95" customHeight="1" x14ac:dyDescent="0.4">
      <c r="B35" s="2" t="str">
        <f xml:space="preserve">
IF(テーブル!B3=テーブル!D3,"【申請にあたっての申立事項】",
IF(テーブル!B3=テーブル!D6,"【申請にあたっての申立事項】",
IF(テーブル!B3=テーブル!D4,"",
IF(テーブル!B3=テーブル!D5,""))))</f>
        <v/>
      </c>
      <c r="C35" s="2"/>
      <c r="D35" s="2"/>
      <c r="E35" s="2"/>
      <c r="F35" s="2"/>
      <c r="G35" s="2"/>
      <c r="H35" s="2"/>
      <c r="I35" s="2"/>
      <c r="J35" s="2"/>
      <c r="K35" s="2"/>
      <c r="L35" s="2"/>
      <c r="M35" s="2"/>
      <c r="N35" s="2"/>
      <c r="O35" s="182"/>
      <c r="P35" s="182"/>
      <c r="Q35" s="182"/>
      <c r="R35" s="182"/>
      <c r="S35" s="2"/>
      <c r="V35" s="81" t="s">
        <v>164</v>
      </c>
    </row>
    <row r="36" spans="2:22" ht="5.0999999999999996" customHeight="1" x14ac:dyDescent="0.4">
      <c r="B36" s="657" t="str">
        <f xml:space="preserve">
IF(AND(テーブル!B3=テーブル!D5,はじめに入力してください!O26="×"),"",
IF(AND(テーブル!B3=テーブル!D5,はじめに入力してください!O26="○"),"",
IF(AND(テーブル!B3=テーブル!D4,はじめに入力してください!O26="×"),"",
IF(AND(テーブル!B3=テーブル!D4,はじめに入力してください!O26="○"),"",
IF(AND(テーブル!B3=テーブル!D3,はじめに入力してください!O26="×"),表紙!V34,
IF(AND(テーブル!B3=テーブル!D3,はじめに入力してください!O26="○"),V35,
IF(AND(テーブル!B3=テーブル!D6,はじめに入力してください!O26="×"),表紙!V34,
IF(AND(テーブル!B3=テーブル!D6,はじめに入力してください!O26="○"),V35))))))))</f>
        <v/>
      </c>
      <c r="C36" s="657"/>
      <c r="D36" s="657"/>
      <c r="E36" s="657"/>
      <c r="F36" s="657"/>
      <c r="G36" s="657"/>
      <c r="H36" s="657"/>
      <c r="I36" s="657"/>
      <c r="J36" s="657"/>
      <c r="K36" s="657"/>
      <c r="L36" s="657"/>
      <c r="M36" s="657"/>
      <c r="N36" s="657"/>
      <c r="O36" s="657"/>
      <c r="P36" s="657"/>
      <c r="Q36" s="657"/>
      <c r="R36" s="657"/>
    </row>
    <row r="37" spans="2:22" ht="18" customHeight="1" x14ac:dyDescent="0.4">
      <c r="B37" s="657"/>
      <c r="C37" s="657"/>
      <c r="D37" s="657"/>
      <c r="E37" s="657"/>
      <c r="F37" s="657"/>
      <c r="G37" s="657"/>
      <c r="H37" s="657"/>
      <c r="I37" s="657"/>
      <c r="J37" s="657"/>
      <c r="K37" s="657"/>
      <c r="L37" s="657"/>
      <c r="M37" s="657"/>
      <c r="N37" s="657"/>
      <c r="O37" s="657"/>
      <c r="P37" s="657"/>
      <c r="Q37" s="657"/>
      <c r="R37" s="657"/>
    </row>
    <row r="38" spans="2:22" ht="18" customHeight="1" x14ac:dyDescent="0.4">
      <c r="B38" s="657"/>
      <c r="C38" s="657"/>
      <c r="D38" s="657"/>
      <c r="E38" s="657"/>
      <c r="F38" s="657"/>
      <c r="G38" s="657"/>
      <c r="H38" s="657"/>
      <c r="I38" s="657"/>
      <c r="J38" s="657"/>
      <c r="K38" s="657"/>
      <c r="L38" s="657"/>
      <c r="M38" s="657"/>
      <c r="N38" s="657"/>
      <c r="O38" s="657"/>
      <c r="P38" s="657"/>
      <c r="Q38" s="657"/>
      <c r="R38" s="657"/>
    </row>
    <row r="39" spans="2:22" ht="18" customHeight="1" x14ac:dyDescent="0.4">
      <c r="B39" s="657"/>
      <c r="C39" s="657"/>
      <c r="D39" s="657"/>
      <c r="E39" s="657"/>
      <c r="F39" s="657"/>
      <c r="G39" s="657"/>
      <c r="H39" s="657"/>
      <c r="I39" s="657"/>
      <c r="J39" s="657"/>
      <c r="K39" s="657"/>
      <c r="L39" s="657"/>
      <c r="M39" s="657"/>
      <c r="N39" s="657"/>
      <c r="O39" s="657"/>
      <c r="P39" s="657"/>
      <c r="Q39" s="657"/>
      <c r="R39" s="657"/>
    </row>
    <row r="40" spans="2:22" ht="18" customHeight="1" x14ac:dyDescent="0.4">
      <c r="B40" s="657"/>
      <c r="C40" s="657"/>
      <c r="D40" s="657"/>
      <c r="E40" s="657"/>
      <c r="F40" s="657"/>
      <c r="G40" s="657"/>
      <c r="H40" s="657"/>
      <c r="I40" s="657"/>
      <c r="J40" s="657"/>
      <c r="K40" s="657"/>
      <c r="L40" s="657"/>
      <c r="M40" s="657"/>
      <c r="N40" s="657"/>
      <c r="O40" s="657"/>
      <c r="P40" s="657"/>
      <c r="Q40" s="657"/>
      <c r="R40" s="657"/>
    </row>
    <row r="41" spans="2:22" ht="5.0999999999999996" customHeight="1" x14ac:dyDescent="0.4">
      <c r="B41" s="657"/>
      <c r="C41" s="657"/>
      <c r="D41" s="657"/>
      <c r="E41" s="657"/>
      <c r="F41" s="657"/>
      <c r="G41" s="657"/>
      <c r="H41" s="657"/>
      <c r="I41" s="657"/>
      <c r="J41" s="657"/>
      <c r="K41" s="657"/>
      <c r="L41" s="657"/>
      <c r="M41" s="657"/>
      <c r="N41" s="657"/>
      <c r="O41" s="657"/>
      <c r="P41" s="657"/>
      <c r="Q41" s="657"/>
      <c r="R41" s="657"/>
    </row>
    <row r="42" spans="2:22" ht="9.9499999999999993" customHeight="1" x14ac:dyDescent="0.4">
      <c r="B42" s="74"/>
      <c r="C42" s="74"/>
      <c r="D42" s="74"/>
      <c r="E42" s="74"/>
      <c r="F42" s="74"/>
      <c r="G42" s="74"/>
      <c r="H42" s="74"/>
      <c r="I42" s="74"/>
      <c r="J42" s="74"/>
      <c r="K42" s="74"/>
      <c r="L42" s="74"/>
      <c r="M42" s="74"/>
      <c r="N42" s="74"/>
      <c r="O42" s="74"/>
      <c r="P42" s="74"/>
      <c r="Q42" s="74"/>
      <c r="R42" s="74"/>
    </row>
    <row r="43" spans="2:22" ht="15.95" customHeight="1" x14ac:dyDescent="0.4">
      <c r="B43" s="652" t="str">
        <f xml:space="preserve">
IF(テーブル!B3=テーブル!D3,"",
IF(テーブル!B3=テーブル!D6,"",
IF(テーブル!B3=テーブル!D4,"（注）様式１－１において当初申請と異なる箇所については変更前を下段に（）書きし、変更後を上段に対応して記入すること。",
IF(テーブル!B3=テーブル!D5,""))))</f>
        <v/>
      </c>
      <c r="C43" s="653"/>
      <c r="D43" s="653"/>
      <c r="E43" s="653"/>
      <c r="F43" s="653"/>
      <c r="G43" s="653"/>
      <c r="H43" s="653"/>
      <c r="J43" s="642" t="s">
        <v>19</v>
      </c>
      <c r="K43" s="642"/>
      <c r="L43" s="659" t="str">
        <f>IF(はじめに入力してください!O14="×","",はじめに入力してください!H14)</f>
        <v/>
      </c>
      <c r="M43" s="659"/>
      <c r="N43" s="659"/>
      <c r="O43" s="659"/>
      <c r="P43" s="659"/>
      <c r="Q43" s="659"/>
      <c r="R43" s="659"/>
    </row>
    <row r="44" spans="2:22" ht="15.95" customHeight="1" x14ac:dyDescent="0.4">
      <c r="B44" s="653"/>
      <c r="C44" s="653"/>
      <c r="D44" s="653"/>
      <c r="E44" s="653"/>
      <c r="F44" s="653"/>
      <c r="G44" s="653"/>
      <c r="H44" s="653"/>
      <c r="J44" s="642" t="s">
        <v>20</v>
      </c>
      <c r="K44" s="642"/>
      <c r="L44" s="659" t="str">
        <f>IF(はじめに入力してください!O15="×","",はじめに入力してください!H15)</f>
        <v/>
      </c>
      <c r="M44" s="659"/>
      <c r="N44" s="659"/>
      <c r="O44" s="659"/>
      <c r="P44" s="659"/>
      <c r="Q44" s="659"/>
      <c r="R44" s="659"/>
    </row>
    <row r="45" spans="2:22" ht="15.95" customHeight="1" x14ac:dyDescent="0.4">
      <c r="B45" s="653"/>
      <c r="C45" s="653"/>
      <c r="D45" s="653"/>
      <c r="E45" s="653"/>
      <c r="F45" s="653"/>
      <c r="G45" s="653"/>
      <c r="H45" s="653"/>
      <c r="J45" s="642" t="s">
        <v>21</v>
      </c>
      <c r="K45" s="642"/>
      <c r="L45" s="659" t="str">
        <f>IF(はじめに入力してください!O16="×","",はじめに入力してください!AF16)</f>
        <v/>
      </c>
      <c r="M45" s="659"/>
      <c r="N45" s="659"/>
      <c r="O45" s="659"/>
      <c r="P45" s="659"/>
      <c r="Q45" s="659"/>
      <c r="R45" s="659"/>
    </row>
    <row r="46" spans="2:22" ht="15.95" customHeight="1" x14ac:dyDescent="0.4">
      <c r="B46" s="79"/>
      <c r="C46" s="79"/>
      <c r="D46" s="79"/>
      <c r="E46" s="79"/>
      <c r="F46" s="79"/>
      <c r="G46" s="79"/>
      <c r="H46" s="79"/>
      <c r="J46" s="642" t="s">
        <v>22</v>
      </c>
      <c r="K46" s="642"/>
      <c r="L46" s="638" t="str">
        <f>IF(はじめに入力してください!O17="×","",はじめに入力してください!H17)</f>
        <v/>
      </c>
      <c r="M46" s="638"/>
      <c r="N46" s="638"/>
      <c r="O46" s="638"/>
      <c r="P46" s="638"/>
      <c r="Q46" s="638"/>
      <c r="R46" s="638"/>
    </row>
    <row r="47" spans="2:22" ht="18" customHeight="1" x14ac:dyDescent="0.4"/>
    <row r="48" spans="2:22" ht="18" customHeight="1" x14ac:dyDescent="0.4"/>
    <row r="49" spans="37:42" ht="18" customHeight="1" x14ac:dyDescent="0.4"/>
    <row r="50" spans="37:42" ht="30" customHeight="1" x14ac:dyDescent="0.4">
      <c r="AM50" s="118"/>
      <c r="AN50" s="119"/>
      <c r="AO50" s="119"/>
      <c r="AP50" s="120"/>
    </row>
    <row r="51" spans="37:42" ht="30" customHeight="1" x14ac:dyDescent="0.4">
      <c r="AM51" s="121"/>
      <c r="AN51" s="122"/>
      <c r="AO51" s="122"/>
      <c r="AP51" s="123"/>
    </row>
    <row r="52" spans="37:42" ht="27" customHeight="1" x14ac:dyDescent="0.4">
      <c r="AM52" s="173"/>
      <c r="AN52" s="649" t="str">
        <f>はじめに入力してください!AF12</f>
        <v/>
      </c>
      <c r="AO52" s="649"/>
      <c r="AP52" s="175"/>
    </row>
    <row r="53" spans="37:42" ht="27" customHeight="1" x14ac:dyDescent="0.4">
      <c r="AK53" s="423"/>
      <c r="AM53" s="176"/>
      <c r="AN53" s="650" t="str">
        <f xml:space="preserve">
IF(AND(OR(テーブル!B3="交付申請",テーブル!B3="交付申請（２次以降）"),COUNTA(AK53,はじめに入力してください!L18)&lt;&gt;2),"",
IF(AND(OR(テーブル!B3="交付申請",テーブル!B3="交付申請（２次以降）"),COUNTA(AK53,はじめに入力してください!L18)=2),"診検第"&amp;AK53&amp;"号"&amp;"（"&amp;はじめに入力してください!L18&amp;")",
IF(AND(テーブル!B3="変更申請",はじめに入力してください!L18=""),"",
IF(AND(テーブル!B3="変更申請",COUNTA(はじめに入力してください!L18)=1),"診検第"&amp;はじめに入力してください!L18&amp;"号",
IF(AND(テーブル!B3="実績報告",はじめに入力してください!L18=""),"",
IF(AND(テーブル!B3="実績報告",COUNTA(はじめに入力してください!L18)=1),"診検第"&amp;はじめに入力してください!L18&amp;"号"))))))</f>
        <v/>
      </c>
      <c r="AO53" s="651"/>
      <c r="AP53" s="175"/>
    </row>
    <row r="54" spans="37:42" ht="24.95" customHeight="1" x14ac:dyDescent="0.4">
      <c r="AM54" s="176"/>
      <c r="AN54" s="192"/>
      <c r="AO54" s="174"/>
      <c r="AP54" s="175"/>
    </row>
    <row r="55" spans="37:42" ht="30" customHeight="1" x14ac:dyDescent="0.4">
      <c r="AM55" s="124"/>
      <c r="AN55" s="125"/>
      <c r="AO55" s="125"/>
      <c r="AP55" s="126"/>
    </row>
    <row r="56" spans="37:42" ht="20.100000000000001" customHeight="1" x14ac:dyDescent="0.4">
      <c r="AM56" s="127"/>
      <c r="AN56" s="128"/>
      <c r="AO56" s="128"/>
      <c r="AP56" s="129"/>
    </row>
  </sheetData>
  <sheetProtection algorithmName="SHA-512" hashValue="Y3+1KfESv/6qIR/elr/dEogI8VjPFrZFJzY2tf+iKyq98JyjEGE/UywCpZnzBpBPIEwZmu9qaoRl9bhCgooKuA==" saltValue="udrdl9M7MUWpsaL0KuIBfQ==" spinCount="100000" sheet="1" formatCells="0" formatColumns="0" formatRows="0"/>
  <mergeCells count="45">
    <mergeCell ref="V18:W19"/>
    <mergeCell ref="AN52:AO52"/>
    <mergeCell ref="AN53:AO53"/>
    <mergeCell ref="B43:H45"/>
    <mergeCell ref="C30:N30"/>
    <mergeCell ref="B26:R26"/>
    <mergeCell ref="B29:R29"/>
    <mergeCell ref="B32:I32"/>
    <mergeCell ref="B36:R41"/>
    <mergeCell ref="C31:I31"/>
    <mergeCell ref="B33:I33"/>
    <mergeCell ref="O32:R33"/>
    <mergeCell ref="J46:K46"/>
    <mergeCell ref="L43:R43"/>
    <mergeCell ref="L44:R44"/>
    <mergeCell ref="L45:R45"/>
    <mergeCell ref="L46:R46"/>
    <mergeCell ref="B19:R19"/>
    <mergeCell ref="N5:R5"/>
    <mergeCell ref="C20:F20"/>
    <mergeCell ref="J45:K45"/>
    <mergeCell ref="J43:K43"/>
    <mergeCell ref="J44:K44"/>
    <mergeCell ref="B28:R28"/>
    <mergeCell ref="B27:R27"/>
    <mergeCell ref="B6:G6"/>
    <mergeCell ref="B15:R15"/>
    <mergeCell ref="L8:R8"/>
    <mergeCell ref="L9:R9"/>
    <mergeCell ref="L10:R10"/>
    <mergeCell ref="I8:K8"/>
    <mergeCell ref="I9:K9"/>
    <mergeCell ref="O2:S2"/>
    <mergeCell ref="C21:F21"/>
    <mergeCell ref="C22:F22"/>
    <mergeCell ref="H20:L20"/>
    <mergeCell ref="H22:L22"/>
    <mergeCell ref="H21:L21"/>
    <mergeCell ref="I10:K10"/>
    <mergeCell ref="C17:R17"/>
    <mergeCell ref="C18:R18"/>
    <mergeCell ref="B12:R12"/>
    <mergeCell ref="A14:S14"/>
    <mergeCell ref="N4:R4"/>
    <mergeCell ref="M20:S21"/>
  </mergeCells>
  <phoneticPr fontId="1"/>
  <conditionalFormatting sqref="H20:H22">
    <cfRule type="containsText" dxfId="34" priority="1" operator="containsText" text="不備">
      <formula>NOT(ISERROR(SEARCH("不備",H20)))</formula>
    </cfRule>
  </conditionalFormatting>
  <printOptions horizontalCentered="1"/>
  <pageMargins left="0.59055118110236227" right="0.39370078740157483" top="0.39370078740157483" bottom="0.39370078740157483" header="0.31496062992125984" footer="0.31496062992125984"/>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B1:P22"/>
  <sheetViews>
    <sheetView showGridLines="0" view="pageBreakPreview" zoomScale="90" zoomScaleNormal="100" zoomScaleSheetLayoutView="90" workbookViewId="0">
      <pane xSplit="1" ySplit="6" topLeftCell="B7" activePane="bottomRight" state="frozen"/>
      <selection activeCell="N3" sqref="N3:Q3"/>
      <selection pane="topRight" activeCell="N3" sqref="N3:Q3"/>
      <selection pane="bottomLeft" activeCell="N3" sqref="N3:Q3"/>
      <selection pane="bottomRight" activeCell="T9" sqref="T9"/>
    </sheetView>
  </sheetViews>
  <sheetFormatPr defaultColWidth="9" defaultRowHeight="18" x14ac:dyDescent="0.4"/>
  <cols>
    <col min="1" max="1" width="2.625" style="105" customWidth="1"/>
    <col min="2" max="2" width="20.625" style="105" customWidth="1"/>
    <col min="3" max="10" width="15.625" style="105" customWidth="1"/>
    <col min="11" max="11" width="11.125" style="105" customWidth="1"/>
    <col min="12" max="12" width="1.625" style="105" customWidth="1"/>
    <col min="13" max="14" width="12.625" style="105" customWidth="1"/>
    <col min="15" max="15" width="15" style="105" customWidth="1"/>
    <col min="16" max="16" width="12.75" style="107" customWidth="1"/>
    <col min="17" max="16384" width="9" style="105"/>
  </cols>
  <sheetData>
    <row r="1" spans="2:16" ht="24.95" customHeight="1" x14ac:dyDescent="0.4">
      <c r="B1" s="105" t="str">
        <f xml:space="preserve">
IF(OR(テーブル!B3="交付申請",テーブル!B3="交付申請（２次以降）"),"様式１－１",
IF(テーブル!B3="変更申請","様式１－１",
IF(テーブル!B3="実績報告","様式３－１")))</f>
        <v>様式３－１</v>
      </c>
      <c r="J1" s="660" t="str">
        <f>"《２次募集》"&amp;はじめに入力してください!AG18</f>
        <v>《２次募集》</v>
      </c>
      <c r="K1" s="625"/>
      <c r="L1" s="625"/>
      <c r="M1" s="625"/>
    </row>
    <row r="2" spans="2:16" ht="24.95" customHeight="1" x14ac:dyDescent="0.4">
      <c r="B2" s="670" t="str">
        <f xml:space="preserve">
IF(OR(テーブル!B3="交付申請",テーブル!B3="交付申請（２次以降）"),"令和４年度　新型コロナウイルス感染症診療・検査医療機関設備整備費補助金経費所要額調書",
IF(テーブル!B3="変更申請","令和４年度　新型コロナウイルス感染症診療・検査医療機関設備整備費補助金経費所要額調書",
IF(テーブル!B3="実績報告","令和４年度　新型コロナウイルス感染症診療・検査医療機関設備整備費補助金経費経費精算書")))</f>
        <v>令和４年度　新型コロナウイルス感染症診療・検査医療機関設備整備費補助金経費経費精算書</v>
      </c>
      <c r="C2" s="670"/>
      <c r="D2" s="670"/>
      <c r="E2" s="670"/>
      <c r="F2" s="670"/>
      <c r="G2" s="670"/>
      <c r="H2" s="670"/>
      <c r="I2" s="670"/>
      <c r="J2" s="670"/>
      <c r="K2" s="670"/>
      <c r="L2" s="391"/>
    </row>
    <row r="3" spans="2:16" ht="24.95" customHeight="1" x14ac:dyDescent="0.4">
      <c r="B3" s="169"/>
      <c r="C3" s="169"/>
      <c r="D3" s="169"/>
      <c r="E3" s="169"/>
      <c r="F3" s="169"/>
      <c r="H3" s="108" t="s">
        <v>47</v>
      </c>
      <c r="I3" s="665" t="str">
        <f>IF(はじめに入力してください!H10=0,"",はじめに入力してください!H10)</f>
        <v/>
      </c>
      <c r="J3" s="666"/>
      <c r="K3" s="69"/>
      <c r="L3" s="69"/>
    </row>
    <row r="4" spans="2:16" ht="24.95" customHeight="1" x14ac:dyDescent="0.4">
      <c r="B4" s="109"/>
      <c r="C4" s="109"/>
      <c r="D4" s="109"/>
      <c r="E4" s="109"/>
      <c r="F4" s="109"/>
      <c r="H4" s="110" t="str">
        <f xml:space="preserve">
IF(OR(テーブル!B3="交付申請",テーブル!B3="交付申請（２次以降）"),"事業完了予定日",
IF(テーブル!B3="変更申請","事業完了予定日",
IF(テーブル!B3="実績報告","事業完了日")))</f>
        <v>事業完了日</v>
      </c>
      <c r="I4" s="667" t="str">
        <f>IF(MAX(額内訳書!AI7:AI17)=0,"",MAX(額内訳書!AI7:AI17))</f>
        <v/>
      </c>
      <c r="J4" s="667"/>
      <c r="K4" s="111"/>
      <c r="L4" s="416"/>
    </row>
    <row r="5" spans="2:16" ht="60" customHeight="1" x14ac:dyDescent="0.4">
      <c r="B5" s="112" t="s">
        <v>58</v>
      </c>
      <c r="C5" s="112" t="s">
        <v>61</v>
      </c>
      <c r="D5" s="112" t="str">
        <f xml:space="preserve">
IF(OR(テーブル!B3="交付申請",テーブル!B3="交付申請（２次以降）"),"寄付金その他の"&amp;CHAR(10)&amp;"収入予定額"&amp;CHAR(10)&amp;"(B)",
IF(テーブル!B3="変更申請","寄付金その他の"&amp;CHAR(10)&amp;"収入予定額"&amp;CHAR(10)&amp;"(B)",
IF(テーブル!B3="実績報告","寄付金その他の"&amp;CHAR(10)&amp;"収入済額"&amp;CHAR(10)&amp;"(B)")))</f>
        <v>寄付金その他の
収入済額
(B)</v>
      </c>
      <c r="E5" s="112" t="s">
        <v>7</v>
      </c>
      <c r="F5" s="112" t="str">
        <f xml:space="preserve">
IF(OR(テーブル!B3="交付申請",テーブル!B3="交付申請（２次以降）"),"対象経費"&amp;CHAR(10)&amp;"支出予定額"&amp;CHAR(10)&amp;"(D)",
IF(テーブル!B3="変更申請","対象経費"&amp;CHAR(10)&amp;"支出予定額"&amp;CHAR(10)&amp;"(D)",
IF(テーブル!B3="実績報告","対象経費"&amp;CHAR(10)&amp;"支出済額"&amp;CHAR(10)&amp;"(D)")))</f>
        <v>対象経費
支出済額
(D)</v>
      </c>
      <c r="G5" s="112" t="s">
        <v>62</v>
      </c>
      <c r="H5" s="112" t="s">
        <v>63</v>
      </c>
      <c r="I5" s="112" t="s">
        <v>48</v>
      </c>
      <c r="J5" s="112" t="s">
        <v>6</v>
      </c>
      <c r="K5" s="112" t="s">
        <v>55</v>
      </c>
      <c r="L5" s="408"/>
      <c r="M5" s="419" t="str">
        <f xml:space="preserve">
IF(テーブル!B3="実績報告","上段:交付内訳額"&amp;CHAR(10)&amp;"下段:補助対象額","")</f>
        <v>上段:交付内訳額
下段:補助対象額</v>
      </c>
    </row>
    <row r="6" spans="2:16" ht="20.100000000000001" hidden="1" customHeight="1" x14ac:dyDescent="0.4">
      <c r="B6" s="167"/>
      <c r="C6" s="113" t="s">
        <v>5</v>
      </c>
      <c r="D6" s="113" t="s">
        <v>5</v>
      </c>
      <c r="E6" s="113" t="s">
        <v>5</v>
      </c>
      <c r="F6" s="113" t="s">
        <v>5</v>
      </c>
      <c r="G6" s="113" t="s">
        <v>5</v>
      </c>
      <c r="H6" s="113" t="s">
        <v>5</v>
      </c>
      <c r="I6" s="113" t="s">
        <v>5</v>
      </c>
      <c r="J6" s="113" t="s">
        <v>5</v>
      </c>
      <c r="K6" s="168"/>
      <c r="L6" s="417"/>
      <c r="M6" s="420"/>
    </row>
    <row r="7" spans="2:16" ht="30" customHeight="1" x14ac:dyDescent="0.4">
      <c r="B7" s="668" t="s">
        <v>49</v>
      </c>
      <c r="C7" s="164">
        <f>額内訳書!J7</f>
        <v>0</v>
      </c>
      <c r="D7" s="185">
        <v>0</v>
      </c>
      <c r="E7" s="164">
        <f>C7-D7</f>
        <v>0</v>
      </c>
      <c r="F7" s="164">
        <f>E7</f>
        <v>0</v>
      </c>
      <c r="G7" s="164">
        <f>額内訳書!F7</f>
        <v>0</v>
      </c>
      <c r="H7" s="164">
        <f>'明細（空清機・パーテ・ベッド）'!AG26</f>
        <v>0</v>
      </c>
      <c r="I7" s="164">
        <f>H7</f>
        <v>0</v>
      </c>
      <c r="J7" s="164">
        <f>ROUNDDOWN(I7,-3)</f>
        <v>0</v>
      </c>
      <c r="K7" s="662" t="str">
        <f xml:space="preserve">
IF(OR(テーブル!B3="交付申請",テーブル!B3="交付申請（２次以降）"),"内訳は様式1-2のとおり",
IF(テーブル!B3="変更申請","内訳は様式1-2のとおり",
IF(テーブル!B3="実績報告","内訳は様式3-2のとおり")))</f>
        <v>内訳は様式3-2のとおり</v>
      </c>
      <c r="L7" s="408"/>
      <c r="M7" s="421" t="str">
        <f xml:space="preserve">
IFERROR(IF(テーブル!B3="実績報告",VLOOKUP(はじめに入力してください!L18,リスト!A:Z,26,FALSE),""),"")</f>
        <v/>
      </c>
    </row>
    <row r="8" spans="2:16" ht="30" customHeight="1" x14ac:dyDescent="0.4">
      <c r="B8" s="669"/>
      <c r="C8" s="166" t="str">
        <f>IF(テーブル!B3="変更申請",VLOOKUP(はじめに入力してください!L18,リスト!A:BF,19,FALSE),"")</f>
        <v/>
      </c>
      <c r="D8" s="186" t="str">
        <f>IF(テーブル!B3="変更申請",VLOOKUP(はじめに入力してください!L18,リスト!A:BF,20,FALSE),"")</f>
        <v/>
      </c>
      <c r="E8" s="166" t="str">
        <f>IF(テーブル!B3="変更申請",VLOOKUP(はじめに入力してください!L18,リスト!A:BF,21,FALSE),"")</f>
        <v/>
      </c>
      <c r="F8" s="166" t="str">
        <f>IF(テーブル!B3="変更申請",VLOOKUP(はじめに入力してください!L18,リスト!A:BF,22,FALSE),"")</f>
        <v/>
      </c>
      <c r="G8" s="166" t="str">
        <f>IF(テーブル!B3="変更申請",VLOOKUP(はじめに入力してください!L18,リスト!A:BF,23,FALSE),"")</f>
        <v/>
      </c>
      <c r="H8" s="166" t="str">
        <f>IF(テーブル!B3="変更申請",VLOOKUP(はじめに入力してください!L18,リスト!A:BF,24,FALSE),"")</f>
        <v/>
      </c>
      <c r="I8" s="166" t="str">
        <f>IF(テーブル!B3="変更申請",VLOOKUP(はじめに入力してください!L18,リスト!A:BF,25,FALSE),"")</f>
        <v/>
      </c>
      <c r="J8" s="166" t="str">
        <f>IF(テーブル!B3="変更申請",VLOOKUP(はじめに入力してください!L18,リスト!A:BF,26,FALSE),"")</f>
        <v/>
      </c>
      <c r="K8" s="663"/>
      <c r="L8" s="408"/>
      <c r="M8" s="422">
        <f>MIN(J7,M7)</f>
        <v>0</v>
      </c>
      <c r="O8" s="109"/>
      <c r="P8" s="114"/>
    </row>
    <row r="9" spans="2:16" ht="30" customHeight="1" x14ac:dyDescent="0.4">
      <c r="B9" s="668" t="s">
        <v>60</v>
      </c>
      <c r="C9" s="164">
        <f>SUM(額内訳書!J8:J11)</f>
        <v>0</v>
      </c>
      <c r="D9" s="185">
        <v>0</v>
      </c>
      <c r="E9" s="164">
        <f>C9-D9</f>
        <v>0</v>
      </c>
      <c r="F9" s="164">
        <f>E9</f>
        <v>0</v>
      </c>
      <c r="G9" s="164">
        <f>SUM(額内訳書!F8:F11)</f>
        <v>0</v>
      </c>
      <c r="H9" s="164">
        <f>'明細（空清機・パーテ・ベッド）'!AG39</f>
        <v>0</v>
      </c>
      <c r="I9" s="164">
        <f>H9</f>
        <v>0</v>
      </c>
      <c r="J9" s="164">
        <f>ROUNDDOWN(I9,-3)</f>
        <v>0</v>
      </c>
      <c r="K9" s="663"/>
      <c r="L9" s="408"/>
      <c r="M9" s="421" t="str">
        <f xml:space="preserve">
IFERROR(IF(テーブル!B3="実績報告",VLOOKUP(はじめに入力してください!L18,リスト!A:AH,34,FALSE),""),"")</f>
        <v/>
      </c>
      <c r="O9" s="109"/>
      <c r="P9" s="114"/>
    </row>
    <row r="10" spans="2:16" ht="30" customHeight="1" x14ac:dyDescent="0.4">
      <c r="B10" s="669"/>
      <c r="C10" s="166" t="str">
        <f>IF(テーブル!B3="変更申請",VLOOKUP(はじめに入力してください!L18,リスト!A:BF,27,FALSE),"")</f>
        <v/>
      </c>
      <c r="D10" s="186" t="str">
        <f>IF(テーブル!B3="変更申請",VLOOKUP(はじめに入力してください!L18,リスト!A:BF,28,FALSE),"")</f>
        <v/>
      </c>
      <c r="E10" s="166" t="str">
        <f>IF(テーブル!B3="変更申請",VLOOKUP(はじめに入力してください!L18,リスト!A:BF,29,FALSE),"")</f>
        <v/>
      </c>
      <c r="F10" s="166" t="str">
        <f>IF(テーブル!B3="変更申請",VLOOKUP(はじめに入力してください!L18,リスト!A:BF,30,FALSE),"")</f>
        <v/>
      </c>
      <c r="G10" s="166" t="str">
        <f>IF(テーブル!B3="変更申請",VLOOKUP(はじめに入力してください!L18,リスト!A:BF,31,FALSE),"")</f>
        <v/>
      </c>
      <c r="H10" s="166" t="str">
        <f>IF(テーブル!B3="変更申請",VLOOKUP(はじめに入力してください!L18,リスト!A:BF,32,FALSE),"")</f>
        <v/>
      </c>
      <c r="I10" s="166" t="str">
        <f>IF(テーブル!B3="変更申請",VLOOKUP(はじめに入力してください!L18,リスト!A:BF,33,FALSE),"")</f>
        <v/>
      </c>
      <c r="J10" s="166" t="str">
        <f>IF(テーブル!B3="変更申請",VLOOKUP(はじめに入力してください!L18,リスト!A:BF,34,FALSE),"")</f>
        <v/>
      </c>
      <c r="K10" s="663"/>
      <c r="L10" s="408"/>
      <c r="M10" s="422">
        <f>MIN(J9,M9)</f>
        <v>0</v>
      </c>
    </row>
    <row r="11" spans="2:16" ht="30" customHeight="1" x14ac:dyDescent="0.4">
      <c r="B11" s="668" t="s">
        <v>2</v>
      </c>
      <c r="C11" s="164">
        <f>額内訳書!J12</f>
        <v>0</v>
      </c>
      <c r="D11" s="185">
        <v>0</v>
      </c>
      <c r="E11" s="164">
        <f>C11-D11</f>
        <v>0</v>
      </c>
      <c r="F11" s="164">
        <f>E11</f>
        <v>0</v>
      </c>
      <c r="G11" s="164">
        <f>額内訳書!F12</f>
        <v>0</v>
      </c>
      <c r="H11" s="164">
        <f>MIN(F11,G11)</f>
        <v>0</v>
      </c>
      <c r="I11" s="164">
        <f>H11</f>
        <v>0</v>
      </c>
      <c r="J11" s="164">
        <f>ROUNDDOWN(I11,-3)</f>
        <v>0</v>
      </c>
      <c r="K11" s="663"/>
      <c r="L11" s="408"/>
      <c r="M11" s="421" t="str">
        <f xml:space="preserve">
IFERROR(IF(テーブル!B3="実績報告",VLOOKUP(はじめに入力してください!L18,リスト!A:AP,42,FALSE),""),"")</f>
        <v/>
      </c>
    </row>
    <row r="12" spans="2:16" ht="30" customHeight="1" x14ac:dyDescent="0.4">
      <c r="B12" s="669"/>
      <c r="C12" s="166" t="str">
        <f>IF(テーブル!B3="変更申請",VLOOKUP(はじめに入力してください!L18,リスト!A:BF,35,FALSE),"")</f>
        <v/>
      </c>
      <c r="D12" s="186" t="str">
        <f>IF(テーブル!B3="変更申請",VLOOKUP(はじめに入力してください!L18,リスト!A:BF,36,FALSE),"")</f>
        <v/>
      </c>
      <c r="E12" s="166" t="str">
        <f>IF(テーブル!B3="変更申請",VLOOKUP(はじめに入力してください!L18,リスト!A:BF,37,FALSE),"")</f>
        <v/>
      </c>
      <c r="F12" s="166" t="str">
        <f>IF(テーブル!B3="変更申請",VLOOKUP(はじめに入力してください!L18,リスト!A:BF,38,FALSE),"")</f>
        <v/>
      </c>
      <c r="G12" s="166" t="str">
        <f>IF(テーブル!B3="変更申請",VLOOKUP(はじめに入力してください!L18,リスト!A:BF,39,FALSE),"")</f>
        <v/>
      </c>
      <c r="H12" s="166" t="str">
        <f>IF(テーブル!B3="変更申請",VLOOKUP(はじめに入力してください!L18,リスト!A:BF,40,FALSE),"")</f>
        <v/>
      </c>
      <c r="I12" s="166" t="str">
        <f>IF(テーブル!B3="変更申請",VLOOKUP(はじめに入力してください!L18,リスト!A:BF,41,FALSE),"")</f>
        <v/>
      </c>
      <c r="J12" s="166" t="str">
        <f>IF(テーブル!B3="変更申請",VLOOKUP(はじめに入力してください!L18,リスト!A:BF,42,FALSE),"")</f>
        <v/>
      </c>
      <c r="K12" s="663"/>
      <c r="L12" s="408"/>
      <c r="M12" s="422">
        <f>MIN(J11,M11)</f>
        <v>0</v>
      </c>
    </row>
    <row r="13" spans="2:16" ht="30" customHeight="1" x14ac:dyDescent="0.4">
      <c r="B13" s="668" t="s">
        <v>3</v>
      </c>
      <c r="C13" s="164">
        <f>SUM(額内訳書!J13:J16)</f>
        <v>0</v>
      </c>
      <c r="D13" s="185">
        <v>0</v>
      </c>
      <c r="E13" s="164">
        <f>C13-D13</f>
        <v>0</v>
      </c>
      <c r="F13" s="164">
        <f>E13</f>
        <v>0</v>
      </c>
      <c r="G13" s="164">
        <f>SUM(額内訳書!F13:F16)</f>
        <v>0</v>
      </c>
      <c r="H13" s="164">
        <f>'明細（空清機・パーテ・ベッド）'!AG4</f>
        <v>0</v>
      </c>
      <c r="I13" s="164">
        <f>H13</f>
        <v>0</v>
      </c>
      <c r="J13" s="164">
        <f>ROUNDDOWN(I13,-3)</f>
        <v>0</v>
      </c>
      <c r="K13" s="663"/>
      <c r="L13" s="408"/>
      <c r="M13" s="421" t="str">
        <f xml:space="preserve">
IFERROR(IF(テーブル!B3="実績報告",VLOOKUP(はじめに入力してください!L18,リスト!A:AX,50,FALSE),""),"")</f>
        <v/>
      </c>
    </row>
    <row r="14" spans="2:16" ht="30" customHeight="1" x14ac:dyDescent="0.4">
      <c r="B14" s="669"/>
      <c r="C14" s="166" t="str">
        <f>IF(テーブル!B3="変更申請",VLOOKUP(はじめに入力してください!L18,リスト!A:BF,43,FALSE),"")</f>
        <v/>
      </c>
      <c r="D14" s="186" t="str">
        <f>IF(テーブル!B3="変更申請",VLOOKUP(はじめに入力してください!L18,リスト!A:BF,44,FALSE),"")</f>
        <v/>
      </c>
      <c r="E14" s="166" t="str">
        <f>IF(テーブル!B3="変更申請",VLOOKUP(はじめに入力してください!L18,リスト!A:BF,45,FALSE),"")</f>
        <v/>
      </c>
      <c r="F14" s="166" t="str">
        <f>IF(テーブル!B3="変更申請",VLOOKUP(はじめに入力してください!L18,リスト!A:BF,46,FALSE),"")</f>
        <v/>
      </c>
      <c r="G14" s="166" t="str">
        <f>IF(テーブル!B3="変更申請",VLOOKUP(はじめに入力してください!L18,リスト!A:BF,47,FALSE),"")</f>
        <v/>
      </c>
      <c r="H14" s="166" t="str">
        <f>IF(テーブル!B3="変更申請",VLOOKUP(はじめに入力してください!L18,リスト!A:BF,48,FALSE),"")</f>
        <v/>
      </c>
      <c r="I14" s="166" t="str">
        <f>IF(テーブル!B3="変更申請",VLOOKUP(はじめに入力してください!L18,リスト!A:BF,49,FALSE),"")</f>
        <v/>
      </c>
      <c r="J14" s="166" t="str">
        <f>IF(テーブル!B3="変更申請",VLOOKUP(はじめに入力してください!L18,リスト!A:BF,50,FALSE),"")</f>
        <v/>
      </c>
      <c r="K14" s="663"/>
      <c r="L14" s="408"/>
      <c r="M14" s="422">
        <f>MIN(J13,M13)</f>
        <v>0</v>
      </c>
    </row>
    <row r="15" spans="2:16" ht="30" customHeight="1" x14ac:dyDescent="0.4">
      <c r="B15" s="668" t="s">
        <v>4</v>
      </c>
      <c r="C15" s="164">
        <f>額内訳書!J17</f>
        <v>0</v>
      </c>
      <c r="D15" s="185">
        <v>0</v>
      </c>
      <c r="E15" s="164">
        <f>C15-D15</f>
        <v>0</v>
      </c>
      <c r="F15" s="164">
        <f>E15</f>
        <v>0</v>
      </c>
      <c r="G15" s="164">
        <f>額内訳書!F17</f>
        <v>0</v>
      </c>
      <c r="H15" s="164">
        <f>額内訳書!J17</f>
        <v>0</v>
      </c>
      <c r="I15" s="164">
        <f>H15</f>
        <v>0</v>
      </c>
      <c r="J15" s="164">
        <f>ROUNDDOWN(I15,-3)</f>
        <v>0</v>
      </c>
      <c r="K15" s="663"/>
      <c r="L15" s="408"/>
      <c r="M15" s="421" t="str">
        <f xml:space="preserve">
IFERROR(IF(テーブル!B3="実績報告",VLOOKUP(はじめに入力してください!L18,リスト!A:BF,58,FALSE),""),"")</f>
        <v/>
      </c>
    </row>
    <row r="16" spans="2:16" ht="30" customHeight="1" x14ac:dyDescent="0.4">
      <c r="B16" s="669"/>
      <c r="C16" s="166" t="str">
        <f>IF(テーブル!B3="変更申請",VLOOKUP(はじめに入力してください!L18,リスト!A:BF,51,FALSE),"")</f>
        <v/>
      </c>
      <c r="D16" s="186" t="str">
        <f>IF(テーブル!B3="変更申請",VLOOKUP(はじめに入力してください!L18,リスト!A:BF,52,FALSE),"")</f>
        <v/>
      </c>
      <c r="E16" s="166" t="str">
        <f>IF(テーブル!B3="変更申請",VLOOKUP(はじめに入力してください!L18,リスト!A:BF,53,FALSE),"")</f>
        <v/>
      </c>
      <c r="F16" s="166" t="str">
        <f>IF(テーブル!B3="変更申請",VLOOKUP(はじめに入力してください!L18,リスト!A:BF,54,FALSE),"")</f>
        <v/>
      </c>
      <c r="G16" s="166" t="str">
        <f>IF(テーブル!B3="変更申請",VLOOKUP(はじめに入力してください!L18,リスト!A:BF,55,FALSE),"")</f>
        <v/>
      </c>
      <c r="H16" s="166" t="str">
        <f>IF(テーブル!B3="変更申請",VLOOKUP(はじめに入力してください!L18,リスト!A:BF,56,FALSE),"")</f>
        <v/>
      </c>
      <c r="I16" s="166" t="str">
        <f>IF(テーブル!B3="変更申請",VLOOKUP(はじめに入力してください!L18,リスト!A:BF,57,FALSE),"")</f>
        <v/>
      </c>
      <c r="J16" s="166" t="str">
        <f>IF(テーブル!B3="変更申請",VLOOKUP(はじめに入力してください!L18,リスト!A:BF,58,FALSE),"")</f>
        <v/>
      </c>
      <c r="K16" s="663"/>
      <c r="L16" s="408"/>
      <c r="M16" s="422">
        <f>MIN(J15,M15)</f>
        <v>0</v>
      </c>
    </row>
    <row r="17" spans="2:16" ht="30" customHeight="1" x14ac:dyDescent="0.4">
      <c r="B17" s="661" t="s">
        <v>8</v>
      </c>
      <c r="C17" s="164">
        <f>C7+C9+C11+C13+C15</f>
        <v>0</v>
      </c>
      <c r="D17" s="164">
        <f t="shared" ref="D17:I17" si="0">D7+D9+D11+D13+D15</f>
        <v>0</v>
      </c>
      <c r="E17" s="164">
        <f t="shared" si="0"/>
        <v>0</v>
      </c>
      <c r="F17" s="164">
        <f t="shared" si="0"/>
        <v>0</v>
      </c>
      <c r="G17" s="164">
        <f t="shared" si="0"/>
        <v>0</v>
      </c>
      <c r="H17" s="164">
        <f t="shared" si="0"/>
        <v>0</v>
      </c>
      <c r="I17" s="164">
        <f t="shared" si="0"/>
        <v>0</v>
      </c>
      <c r="J17" s="164">
        <f>J7+J9+J11+J13+J15</f>
        <v>0</v>
      </c>
      <c r="K17" s="663"/>
      <c r="L17" s="408"/>
      <c r="M17" s="421">
        <f>SUM(M7,M9,M11,M13,M15)</f>
        <v>0</v>
      </c>
      <c r="N17" s="411">
        <f>SUM(M8,M10,M12,M14,M16)</f>
        <v>0</v>
      </c>
      <c r="P17" s="105"/>
    </row>
    <row r="18" spans="2:16" ht="30" customHeight="1" x14ac:dyDescent="0.4">
      <c r="B18" s="614"/>
      <c r="C18" s="166" t="str">
        <f>IF(テーブル!B3="変更申請",SUM(C8,C10,C12,C14,C16),"")</f>
        <v/>
      </c>
      <c r="D18" s="166" t="str">
        <f>IF(テーブル!B3="変更申請",SUM(D8,D10,D12,D14,D16),"")</f>
        <v/>
      </c>
      <c r="E18" s="166" t="str">
        <f>IF(テーブル!B3="変更申請",SUM(E8,E10,E12,E14,E16),"")</f>
        <v/>
      </c>
      <c r="F18" s="166" t="str">
        <f>IF(テーブル!B3="変更申請",SUM(F8,F10,F12,F14,F16),"")</f>
        <v/>
      </c>
      <c r="G18" s="166" t="str">
        <f>IF(テーブル!B3="変更申請",SUM(G8,G10,G12,G14,G16),"")</f>
        <v/>
      </c>
      <c r="H18" s="166" t="str">
        <f>IF(テーブル!B3="変更申請",SUM(H8,H10,H12,H14,H16),"")</f>
        <v/>
      </c>
      <c r="I18" s="166" t="str">
        <f>IF(テーブル!B3="変更申請",SUM(I8,I10,I12,I14,I16),"")</f>
        <v/>
      </c>
      <c r="J18" s="166" t="str">
        <f>IF(テーブル!B3="変更申請",SUM(J8,J10,J12,J14,J16),"")</f>
        <v/>
      </c>
      <c r="K18" s="664"/>
      <c r="L18" s="418"/>
      <c r="M18" s="422">
        <f>MIN(N17,M17)</f>
        <v>0</v>
      </c>
      <c r="N18" s="410"/>
      <c r="P18" s="105"/>
    </row>
    <row r="19" spans="2:16" ht="21.75" customHeight="1" x14ac:dyDescent="0.4">
      <c r="B19" s="105" t="s">
        <v>9</v>
      </c>
      <c r="P19" s="105"/>
    </row>
    <row r="20" spans="2:16" ht="20.100000000000001" customHeight="1" x14ac:dyDescent="0.4">
      <c r="P20" s="105"/>
    </row>
    <row r="21" spans="2:16" ht="20.100000000000001" customHeight="1" x14ac:dyDescent="0.4">
      <c r="P21" s="105"/>
    </row>
    <row r="22" spans="2:16" ht="20.100000000000001" customHeight="1" x14ac:dyDescent="0.4">
      <c r="P22" s="105"/>
    </row>
  </sheetData>
  <sheetProtection algorithmName="SHA-512" hashValue="j+Q+P7x9SeQGk5PKJ2IBFbqnYOJsMbGV+SsvwgerkGhzb5f/z4IKnnc/ohueJurjixPbNNO90Fjsrz2TfZv4bg==" saltValue="bgq8fJ5s7ZKjGKslmY1VHw==" spinCount="100000" sheet="1" objects="1" scenarios="1"/>
  <mergeCells count="11">
    <mergeCell ref="J1:M1"/>
    <mergeCell ref="B17:B18"/>
    <mergeCell ref="K7:K18"/>
    <mergeCell ref="I3:J3"/>
    <mergeCell ref="I4:J4"/>
    <mergeCell ref="B15:B16"/>
    <mergeCell ref="B2:K2"/>
    <mergeCell ref="B7:B8"/>
    <mergeCell ref="B9:B10"/>
    <mergeCell ref="B11:B12"/>
    <mergeCell ref="B13:B14"/>
  </mergeCells>
  <phoneticPr fontId="1"/>
  <dataValidations count="1">
    <dataValidation allowBlank="1" showInputMessage="1" showErrorMessage="1" promptTitle="「寄付金その他の収入予定額（B）」欄について" prompt="本補助金で申請した「総事業費（A）」に対して、本補助金以外の寄付金やその他の収入を充てている場合はその金額を、ない場合は「0」円を入力してください。 _x000a_" sqref="D7:D16" xr:uid="{00000000-0002-0000-0500-000000000000}"/>
  </dataValidations>
  <printOptions horizontalCentered="1"/>
  <pageMargins left="0.59055118110236227" right="0.39370078740157483" top="0.98425196850393704" bottom="0.39370078740157483" header="0.31496062992125984" footer="0.31496062992125984"/>
  <pageSetup paperSize="9" scale="70" fitToWidth="0" fitToHeight="0" orientation="landscape" r:id="rId1"/>
  <colBreaks count="1" manualBreakCount="1">
    <brk id="13" max="18"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B1:AZ50"/>
  <sheetViews>
    <sheetView showGridLines="0" view="pageBreakPreview" zoomScale="40" zoomScaleNormal="100" zoomScaleSheetLayoutView="40" workbookViewId="0">
      <pane xSplit="2" ySplit="6" topLeftCell="C7" activePane="bottomRight" state="frozen"/>
      <selection pane="topRight" activeCell="C1" sqref="C1"/>
      <selection pane="bottomLeft" activeCell="A7" sqref="A7"/>
      <selection pane="bottomRight" activeCell="AQ9" sqref="AQ9"/>
    </sheetView>
  </sheetViews>
  <sheetFormatPr defaultColWidth="9" defaultRowHeight="24" x14ac:dyDescent="0.4"/>
  <cols>
    <col min="1" max="1" width="2.625" style="11" customWidth="1"/>
    <col min="2" max="2" width="35.625" style="11" customWidth="1"/>
    <col min="3" max="3" width="30.625" style="11" customWidth="1"/>
    <col min="4" max="4" width="10.625" style="11" customWidth="1"/>
    <col min="5" max="6" width="20.625" style="11" customWidth="1"/>
    <col min="7" max="7" width="30.625" style="11" customWidth="1"/>
    <col min="8" max="8" width="10.625" style="11" customWidth="1"/>
    <col min="9" max="10" width="20.625" style="11" customWidth="1"/>
    <col min="11" max="16" width="5.625" style="11" customWidth="1"/>
    <col min="17" max="17" width="5.625" style="12" customWidth="1"/>
    <col min="18" max="18" width="2.625" style="11" customWidth="1"/>
    <col min="19" max="26" width="8.625" style="11" customWidth="1"/>
    <col min="27" max="30" width="9" style="11"/>
    <col min="31" max="31" width="10.625" style="13" customWidth="1"/>
    <col min="32" max="34" width="9" style="11"/>
    <col min="35" max="35" width="14.125" style="11" bestFit="1" customWidth="1"/>
    <col min="36" max="36" width="10.625" style="11" customWidth="1"/>
    <col min="37" max="37" width="10.625" style="17" customWidth="1"/>
    <col min="38" max="44" width="10.625" style="11" customWidth="1"/>
    <col min="45" max="45" width="9" style="12"/>
    <col min="46" max="47" width="9" style="11"/>
    <col min="48" max="48" width="90.625" style="14" customWidth="1"/>
    <col min="49" max="49" width="30.625" style="258" customWidth="1"/>
    <col min="50" max="50" width="16.75" style="11" bestFit="1" customWidth="1"/>
    <col min="51" max="16384" width="9" style="11"/>
  </cols>
  <sheetData>
    <row r="1" spans="2:52" ht="39.950000000000003" customHeight="1" x14ac:dyDescent="0.4">
      <c r="B1" s="11" t="str">
        <f xml:space="preserve">
IF(OR(テーブル!B3="交付申請",テーブル!B3="交付申請（２次以降）"),"様式１－２",
IF(テーブル!B3="変更申請","様式１－２",
IF(テーブル!B3="実績報告","様式３－２")))</f>
        <v>様式３－２</v>
      </c>
      <c r="C1" s="12"/>
      <c r="K1" s="660" t="str">
        <f>"《２次募集》"&amp;はじめに入力してください!AG18</f>
        <v>《２次募集》</v>
      </c>
      <c r="L1" s="666"/>
      <c r="M1" s="666"/>
      <c r="N1" s="666"/>
      <c r="O1" s="666"/>
      <c r="P1" s="666"/>
      <c r="Q1" s="666"/>
      <c r="AJ1" s="239"/>
      <c r="AK1" s="240"/>
      <c r="AL1" s="240"/>
      <c r="AM1" s="240"/>
      <c r="AN1" s="240"/>
      <c r="AO1" s="240"/>
      <c r="AP1" s="208"/>
      <c r="AQ1" s="11" t="e">
        <f>IF(AP2=#REF!,"OK","エラー")</f>
        <v>#REF!</v>
      </c>
    </row>
    <row r="2" spans="2:52" ht="39.950000000000003" customHeight="1" x14ac:dyDescent="0.4">
      <c r="B2" s="674" t="str">
        <f xml:space="preserve">
IF(OR(テーブル!B3="交付申請",テーブル!B3="交付申請（２次以降）"),"設備整備基準算出内訳及び対象経費支出予定額内訳",
IF(テーブル!B3="変更申請","設備整備基準算出内訳及び対象経費支出予定額内訳",
IF(テーブル!B3="実績報告","設備整備基準算出内訳及び対象経費実支出額内訳")))</f>
        <v>設備整備基準算出内訳及び対象経費実支出額内訳</v>
      </c>
      <c r="C2" s="675"/>
      <c r="D2" s="675"/>
      <c r="E2" s="675"/>
      <c r="F2" s="675"/>
      <c r="G2" s="675"/>
      <c r="H2" s="675"/>
      <c r="I2" s="675"/>
      <c r="J2" s="675"/>
      <c r="K2" s="675"/>
      <c r="L2" s="675"/>
      <c r="M2" s="675"/>
      <c r="N2" s="675"/>
      <c r="O2" s="675"/>
      <c r="P2" s="675"/>
      <c r="Q2" s="675"/>
      <c r="AJ2" s="241"/>
      <c r="AK2" s="15"/>
      <c r="AL2" s="15"/>
      <c r="AM2" s="15"/>
      <c r="AN2" s="15"/>
      <c r="AO2" s="15"/>
      <c r="AP2" s="15"/>
      <c r="AQ2" s="15"/>
      <c r="AS2" s="677" t="s">
        <v>286</v>
      </c>
      <c r="AT2" s="678"/>
      <c r="AU2" s="681" t="str">
        <f xml:space="preserve">
IF(COUNTIF(AU7:AU17,"×")&gt;=1,"×",
IF(AND(COUNTIF(AU7:AU17,"×")=0,COUNTIF(AU7:AU17,"◎")&gt;=1),"○",
IF(COUNTIF(AU7:AU17,"○")=11,"×")))</f>
        <v>×</v>
      </c>
      <c r="AV2" s="683" t="str">
        <f xml:space="preserve">
IF(COUNTIF(AU7:AU17,"×")&gt;=1,"【要修正】未入力または記載不十分の箇所があるため赤色表示の行を確認してください。",
IF(AND(COUNTIF(AU7:AU17,"×")=0,COUNTIF(AU7:AU17,"◎")&gt;=1),"適切に入力がされました。",
IF(COUNTIF(AU7:AU17,"○")=11,"【要修正】未入力の状態です。")))</f>
        <v>【要修正】未入力の状態です。</v>
      </c>
      <c r="AW2" s="692" t="s">
        <v>289</v>
      </c>
      <c r="AX2" s="690" t="s">
        <v>288</v>
      </c>
    </row>
    <row r="3" spans="2:52" ht="39.950000000000003" customHeight="1" x14ac:dyDescent="0.4">
      <c r="B3" s="16"/>
      <c r="C3" s="16"/>
      <c r="D3" s="16"/>
      <c r="E3" s="16"/>
      <c r="F3" s="16"/>
      <c r="G3" s="16"/>
      <c r="H3" s="16"/>
      <c r="I3" s="16"/>
      <c r="J3" s="16"/>
      <c r="K3" s="16"/>
      <c r="L3" s="16"/>
      <c r="M3" s="16"/>
      <c r="N3" s="16"/>
      <c r="O3" s="16"/>
      <c r="P3" s="16"/>
      <c r="Q3" s="208"/>
      <c r="S3" s="12" t="str">
        <f>AU2</f>
        <v>×</v>
      </c>
      <c r="AJ3" s="208"/>
      <c r="AK3" s="15"/>
      <c r="AL3" s="15"/>
      <c r="AM3" s="15"/>
      <c r="AN3" s="15"/>
      <c r="AO3" s="15"/>
      <c r="AP3" s="15"/>
      <c r="AQ3" s="15"/>
      <c r="AS3" s="679"/>
      <c r="AT3" s="680"/>
      <c r="AU3" s="682"/>
      <c r="AV3" s="684"/>
      <c r="AW3" s="693"/>
      <c r="AX3" s="691"/>
    </row>
    <row r="4" spans="2:52" ht="50.1" customHeight="1" x14ac:dyDescent="0.4">
      <c r="B4" s="689" t="s">
        <v>50</v>
      </c>
      <c r="C4" s="688" t="s">
        <v>51</v>
      </c>
      <c r="D4" s="688" t="s">
        <v>53</v>
      </c>
      <c r="E4" s="688"/>
      <c r="F4" s="688"/>
      <c r="G4" s="688" t="str">
        <f xml:space="preserve">
IF(OR(テーブル!B3="交付申請",テーブル!B3="交付申請（２次以降）"),"対象経費支出予定額",
IF(テーブル!B3="変更申請","対象経費支出予定額",
IF(テーブル!B3="実績報告","対象経費実支出額")))</f>
        <v>対象経費実支出額</v>
      </c>
      <c r="H4" s="688"/>
      <c r="I4" s="688"/>
      <c r="J4" s="688"/>
      <c r="K4" s="696" t="str">
        <f xml:space="preserve">
IF(OR(テーブル!B3="交付申請",テーブル!B3="交付申請（２次以降）"),"事業完了予定日"&amp;CHAR(10)&amp;"（複数の場合は最終納品の予定日）",
IF(テーブル!B3="変更申請","事業完了予定日"&amp;CHAR(10)&amp;"（複数の場合は最終納品の予定日）",
IF(テーブル!B3="実績報告","事業完了日"&amp;CHAR(10)&amp;"（複数の場合は最終納品日）")))</f>
        <v>事業完了日
（複数の場合は最終納品日）</v>
      </c>
      <c r="L4" s="697"/>
      <c r="M4" s="697"/>
      <c r="N4" s="697"/>
      <c r="O4" s="698"/>
      <c r="P4" s="698"/>
      <c r="Q4" s="699"/>
      <c r="AE4" s="240"/>
      <c r="AF4" s="206"/>
      <c r="AG4" s="206"/>
      <c r="AH4" s="206"/>
      <c r="AJ4" s="208"/>
      <c r="AK4" s="15"/>
      <c r="AL4" s="15"/>
      <c r="AM4" s="15"/>
      <c r="AN4" s="15"/>
      <c r="AO4" s="15"/>
      <c r="AP4" s="15"/>
      <c r="AQ4" s="15"/>
      <c r="AS4" s="695" t="s">
        <v>90</v>
      </c>
      <c r="AT4" s="676" t="s">
        <v>287</v>
      </c>
      <c r="AU4" s="676" t="s">
        <v>104</v>
      </c>
      <c r="AV4" s="676" t="s">
        <v>68</v>
      </c>
      <c r="AW4" s="693"/>
      <c r="AX4" s="691"/>
    </row>
    <row r="5" spans="2:52" ht="24.95" customHeight="1" x14ac:dyDescent="0.4">
      <c r="B5" s="689"/>
      <c r="C5" s="688"/>
      <c r="D5" s="375" t="s">
        <v>0</v>
      </c>
      <c r="E5" s="375" t="s">
        <v>52</v>
      </c>
      <c r="F5" s="375" t="s">
        <v>54</v>
      </c>
      <c r="G5" s="376" t="s">
        <v>64</v>
      </c>
      <c r="H5" s="375" t="s">
        <v>1</v>
      </c>
      <c r="I5" s="61" t="s">
        <v>67</v>
      </c>
      <c r="J5" s="375" t="s">
        <v>54</v>
      </c>
      <c r="K5" s="700" t="s">
        <v>83</v>
      </c>
      <c r="L5" s="698"/>
      <c r="M5" s="699"/>
      <c r="N5" s="700" t="s">
        <v>85</v>
      </c>
      <c r="O5" s="699"/>
      <c r="P5" s="700" t="s">
        <v>87</v>
      </c>
      <c r="Q5" s="699"/>
      <c r="AE5" s="245"/>
      <c r="AF5" s="206"/>
      <c r="AG5" s="206"/>
      <c r="AH5" s="206"/>
      <c r="AL5" s="17"/>
      <c r="AM5" s="17"/>
      <c r="AN5" s="17"/>
      <c r="AO5" s="17"/>
      <c r="AS5" s="676"/>
      <c r="AT5" s="676"/>
      <c r="AU5" s="676"/>
      <c r="AV5" s="676"/>
      <c r="AW5" s="694"/>
      <c r="AX5" s="682"/>
    </row>
    <row r="6" spans="2:52" ht="30" hidden="1" customHeight="1" x14ac:dyDescent="0.4">
      <c r="B6" s="374"/>
      <c r="C6" s="18"/>
      <c r="D6" s="18"/>
      <c r="E6" s="19" t="s">
        <v>5</v>
      </c>
      <c r="F6" s="19" t="s">
        <v>5</v>
      </c>
      <c r="G6" s="20"/>
      <c r="H6" s="19"/>
      <c r="I6" s="19" t="s">
        <v>5</v>
      </c>
      <c r="J6" s="19" t="s">
        <v>5</v>
      </c>
      <c r="K6" s="19"/>
      <c r="L6" s="19"/>
      <c r="M6" s="19"/>
      <c r="N6" s="19"/>
      <c r="O6" s="19"/>
      <c r="P6" s="19"/>
      <c r="Q6" s="18"/>
      <c r="AE6" s="240"/>
      <c r="AF6" s="206"/>
      <c r="AG6" s="206"/>
      <c r="AH6" s="206"/>
      <c r="AJ6" s="16"/>
      <c r="AS6" s="379"/>
      <c r="AT6" s="264"/>
      <c r="AU6" s="264"/>
      <c r="AV6" s="265"/>
      <c r="AW6" s="63"/>
      <c r="AX6" s="264"/>
    </row>
    <row r="7" spans="2:52" ht="75" customHeight="1" x14ac:dyDescent="0.4">
      <c r="B7" s="374" t="s">
        <v>65</v>
      </c>
      <c r="C7" s="380" t="str">
        <f>IF('明細（空清機・パーテ・ベッド）'!BG22&lt;&gt;"◎","",'明細（空清機・パーテ・ベッド）'!J17)</f>
        <v/>
      </c>
      <c r="D7" s="77">
        <f>IF(C7="",0,1)</f>
        <v>0</v>
      </c>
      <c r="E7" s="21">
        <f>IF(C7="",0,905000)</f>
        <v>0</v>
      </c>
      <c r="F7" s="21">
        <f>D7*E7</f>
        <v>0</v>
      </c>
      <c r="G7" s="374" t="str">
        <f>IF('明細（空清機・パーテ・ベッド）'!BG22&lt;&gt;"◎","",'明細（空清機・パーテ・ベッド）'!J17)</f>
        <v/>
      </c>
      <c r="H7" s="381">
        <f>IF('明細（空清機・パーテ・ベッド）'!BG22&lt;&gt;"◎",0,D7)</f>
        <v>0</v>
      </c>
      <c r="I7" s="382">
        <f>IF('明細（空清機・パーテ・ベッド）'!BG22&lt;&gt;"◎",0,'明細（空清機・パーテ・ベッド）'!AG22)</f>
        <v>0</v>
      </c>
      <c r="J7" s="21">
        <f>IF('明細（空清機・パーテ・ベッド）'!BG22&lt;&gt;"◎",0,H7*I7)</f>
        <v>0</v>
      </c>
      <c r="K7" s="22" t="s">
        <v>81</v>
      </c>
      <c r="L7" s="356"/>
      <c r="M7" s="23" t="s">
        <v>82</v>
      </c>
      <c r="N7" s="356"/>
      <c r="O7" s="23" t="s">
        <v>84</v>
      </c>
      <c r="P7" s="356"/>
      <c r="Q7" s="24" t="s">
        <v>86</v>
      </c>
      <c r="Z7" s="12"/>
      <c r="AE7" s="246"/>
      <c r="AF7" s="206"/>
      <c r="AG7" s="242"/>
      <c r="AI7" s="412" t="str">
        <f t="shared" ref="AI7:AI17" si="0">IFERROR(DATE(AJ7,N7,P7),"")</f>
        <v/>
      </c>
      <c r="AJ7" s="413" t="str">
        <f t="shared" ref="AJ7:AJ17" si="1">IF(L7=4,2022,IF(L7=5,2023,""))</f>
        <v/>
      </c>
      <c r="AK7" s="414" t="str">
        <f>IF(N7="","",N7)</f>
        <v/>
      </c>
      <c r="AL7" s="415" t="str">
        <f>IF(P7="","",P7)</f>
        <v/>
      </c>
      <c r="AM7" s="25"/>
      <c r="AR7" s="12" t="s">
        <v>79</v>
      </c>
      <c r="AS7" s="379" t="str">
        <f>IF(COUNTA(L7,N7,P7)=0,"○",
IF(AND(COUNTA(L7,N7,P7)&lt;3,COUNTA(L7,N7,P7)&gt;=1),"×",
IF(COUNTA(L7,N7,P7)=3,"◎")))</f>
        <v>○</v>
      </c>
      <c r="AT7" s="379" t="str">
        <f>'明細（空清機・パーテ・ベッド）'!BG22</f>
        <v>○</v>
      </c>
      <c r="AU7" s="379" t="str">
        <f t="shared" ref="AU7:AU11" si="2">IF(AND(AS7="◎",AT7="×"),"×",
IF(AND(AS7="◎",AT7="○"),"×",
IF(AND(AS7="◎",AT7="◎"),"◎",
IF(AND(AS7="○",AT7="×"),"×",
IF(AND(AS7="○",AT7="○"),"○",
IF(AND(AS7="○",AT7="◎"),"×",
IF(AND(AS7="×",AT7="×"),"×",
IF(AND(AS7="×",AT7="○"),"×",
IF(AND(AS7="×",AT7="◎"),"×")))))))))</f>
        <v>○</v>
      </c>
      <c r="AV7" s="266" t="str">
        <f>IF(AND(AS7="◎",AT7="×"),
"【要修正】以下を確認してください。"&amp;CHAR(10)&amp;"《空気清浄機の明細シートをご確認ください》本シートで納品の日付が入力されていますが、明細シートが入力不十分です。",
IF(AND(AS7="◎",AT7="○"),
"【要修正】以下を確認してください。"&amp;CHAR(10)&amp;"《空気清浄機の明細シートをご確認ください》本シートで納品の日付が入力されていますが、明細シートが未入力となっています。",
IF(AND(AS7="◎",AT7="◎"),"必要情報が全て入力されました。",
IF(AND(AS7="○",AT7="×"),
"【要修正】以下を確認してください。"&amp;CHAR(10)&amp;"《空気清浄機の明細シートをご確認ください》入力が不十分です。"&amp;CHAR(10)&amp;
"《このシートをご確認ください》納品の日付が未入力となっています。",
IF(AND(AS7="○",AT7="○"),"申請しない場合、入力は不要です。",
IF(AND(AS7="○",AT7="◎"),
"【要修正】以下を確認してください。"&amp;CHAR(10)&amp;"《このシートをご確認ください》空気清浄機の明細シートは入力されていますが、納品の日付が未入力です。",
IF(AND(AS7="×",AT7="×"),
"【要修正】以下を確認してください。"&amp;CHAR(10)&amp;"《空気清浄機の明細シートをご確認ください》入力が不十分です。"&amp;CHAR(10)&amp;
"《このシートをご確認ください》納品の日付が入力不十分です。",
IF(AND(AS7="×",AT7="○"),
"【要修正】以下を確認してください。"&amp;CHAR(10)&amp;"《空気清浄機の明細シートをご確認ください》未入力の状態です。"&amp;CHAR(10)&amp;
"《このシートをご確認ください》納品の日付が入力不十分です。",
IF(AND(AS7="×",AT7="◎"),
"【要修正】以下を確認してください。"&amp;CHAR(10)&amp;"《このシートをご確認ください》納品の日付が未記入となっています。")))))))))</f>
        <v>申請しない場合、入力は不要です。</v>
      </c>
      <c r="AW7" s="267" t="str">
        <f>IF(AND(AS7="◎",AT7="×"),"空気清浄機：「明細」シートが入力不十分/",
IF(AND(AS7="◎",AT7="○"),"空気清浄機：「明細」シートが未入力/",
IF(AND(AS7="◎",AT7="◎"),"",
IF(AND(AS7="○",AT7="×"),"空気清浄機：「明細」シートが入力不十分、納品の日付が未入力/",
IF(AND(AS7="○",AT7="○"),"",
IF(AND(AS7="○",AT7="◎"),"空気清浄機：納品の日付が未入力/",
IF(AND(AS7="×",AT7="×"),"空気清浄機：「明細」シートの入力不十分、納品の日付が未入力/",
IF(AND(AS7="×",AT7="○"),"空気清浄機：「明細」シートが未入力、納品の日付が入力不十分/",
IF(AND(AS7="×",AT7="◎"),"空気清浄機：納品の日付が入力不十分/")))))))))</f>
        <v/>
      </c>
      <c r="AX7" s="268">
        <f>ROUNDDOWN('明細（空清機・パーテ・ベッド）'!AG26,-3)</f>
        <v>0</v>
      </c>
      <c r="AY7" s="15"/>
      <c r="AZ7" s="15"/>
    </row>
    <row r="8" spans="2:52" ht="75" customHeight="1" x14ac:dyDescent="0.4">
      <c r="B8" s="685" t="s">
        <v>60</v>
      </c>
      <c r="C8" s="219" t="str">
        <f>IF(OR('明細（空清機・パーテ・ベッド）'!$BG$39&lt;&gt;"◎",'明細（空清機・パーテ・ベッド）'!B35=""),"",'明細（空清機・パーテ・ベッド）'!B35)</f>
        <v/>
      </c>
      <c r="D8" s="26">
        <f>IF('明細（空清機・パーテ・ベッド）'!$BG$39&lt;&gt;"◎",0,'明細（空清機・パーテ・ベッド）'!P35)</f>
        <v>0</v>
      </c>
      <c r="E8" s="27">
        <f>IF(D8=0,0,205000)</f>
        <v>0</v>
      </c>
      <c r="F8" s="27">
        <f>D8*E8</f>
        <v>0</v>
      </c>
      <c r="G8" s="28" t="str">
        <f>IF(OR('明細（空清機・パーテ・ベッド）'!$BG$39&lt;&gt;"◎",'明細（空清機・パーテ・ベッド）'!B35=""),"",'明細（空清機・パーテ・ベッド）'!B35)</f>
        <v/>
      </c>
      <c r="H8" s="26">
        <f>IF('明細（空清機・パーテ・ベッド）'!$BG$39&lt;&gt;"◎",0,'明細（空清機・パーテ・ベッド）'!P35)</f>
        <v>0</v>
      </c>
      <c r="I8" s="49">
        <f>IF('明細（空清機・パーテ・ベッド）'!$BG$39&lt;&gt;"◎",0,'明細（空清機・パーテ・ベッド）'!W35)</f>
        <v>0</v>
      </c>
      <c r="J8" s="27">
        <f>IF('明細（空清機・パーテ・ベッド）'!$BG$39&lt;&gt;"◎",0,額内訳書!H8*額内訳書!I8)</f>
        <v>0</v>
      </c>
      <c r="K8" s="29" t="s">
        <v>80</v>
      </c>
      <c r="L8" s="357"/>
      <c r="M8" s="30" t="s">
        <v>82</v>
      </c>
      <c r="N8" s="357"/>
      <c r="O8" s="30" t="s">
        <v>84</v>
      </c>
      <c r="P8" s="357"/>
      <c r="Q8" s="31" t="s">
        <v>86</v>
      </c>
      <c r="Z8" s="12"/>
      <c r="AE8" s="246"/>
      <c r="AF8" s="206"/>
      <c r="AG8" s="242"/>
      <c r="AI8" s="412" t="str">
        <f t="shared" si="0"/>
        <v/>
      </c>
      <c r="AJ8" s="413" t="str">
        <f t="shared" si="1"/>
        <v/>
      </c>
      <c r="AK8" s="414" t="str">
        <f t="shared" ref="AK8:AK17" si="3">IF(N8="","",N8)</f>
        <v/>
      </c>
      <c r="AL8" s="415" t="str">
        <f t="shared" ref="AL8:AL17" si="4">IF(P8="","",P8)</f>
        <v/>
      </c>
      <c r="AM8" s="243"/>
      <c r="AN8" s="206"/>
      <c r="AR8" s="12" t="s">
        <v>79</v>
      </c>
      <c r="AS8" s="379" t="str">
        <f t="shared" ref="AS8:AS17" si="5">IF(COUNTA(L8,N8,P8)=0,"○",
IF(AND(COUNTA(L8,N8,P8)&lt;3,COUNTA(L8,N8,P8)&gt;=1),"×",
IF(COUNTA(L8,N8,P8)=3,"◎")))</f>
        <v>○</v>
      </c>
      <c r="AT8" s="379" t="str">
        <f>'明細（空清機・パーテ・ベッド）'!BG35</f>
        <v>○</v>
      </c>
      <c r="AU8" s="379" t="str">
        <f t="shared" si="2"/>
        <v>○</v>
      </c>
      <c r="AV8" s="266" t="str">
        <f>IF(AND(AS8="◎",AT8="×"),
"【要修正】以下を確認してください。"&amp;CHAR(10)&amp;"《パーテーションの明細シートをご確認ください》本シートで納品の日付が入力されていますが、明細シートが入力不十分です。",
IF(AND(AS8="◎",AT8="○"),
"【要修正】以下を確認してください。"&amp;CHAR(10)&amp;"《パーテーションの明細シートをご確認ください》本シートで納品の日付が入力されていますが、明細シートが未入力です。",
IF(AND(AS8="◎",AT8="◎"),
"必要情報が全て入力されました。",
IF(AND(AS8="○",AT8="×"),
"【要修正】以下を確認してください。"&amp;CHAR(10)&amp;"《パーテーションの明細シートをご確認ください》入力が不十分です。"&amp;CHAR(10)&amp;
"《このシートをご確認ください》納品の日付が未入力です。",
IF(AND(AS8="○",AT8="○"),
"申請しない場合は入力不要です。",
IF(AND(AS8="○",AT8="◎"),
"【要修正】以下を確認してください。"&amp;CHAR(10)&amp;"《このシートをご確認ください》パーテーションの明細シートは入力されていますが、納品の日付が未入力です。",
IF(AND(AS8="×",AT8="×"),
"【要修正】以下を確認してください。"&amp;CHAR(10)&amp;"《パーテーションの明細シートをご確認ください》入力が不十分です。"&amp;CHAR(10)&amp;
"《このシートをご確認ください》納品の日付が入力不十分です。",
IF(AND(AS8="×",AT8="○"),
"【要修正】以下を確認してください。"&amp;CHAR(10)&amp;"《パーテーションの明細シートをご確認ください》未入力の状態です。"&amp;CHAR(10)&amp;
"《このシートをご確認ください》納品の日付が未入力です。",
IF(AND(AS8="×",AT8="◎"),
"【要修正】以下を確認してください。"&amp;CHAR(10)&amp;"《このシートをご確認ください》納品の日付が未入力です。")))))))))</f>
        <v>申請しない場合は入力不要です。</v>
      </c>
      <c r="AW8" s="267" t="str">
        <f>IF(AND(AS8="◎",AT8="×"),"パーテーション（１行目）：「明細」シートが入力不十分/",
IF(AND(AS8="◎",AT8="○"),"パーテーション（１行目）：「明細」シートが未入力/",
IF(AND(AS8="◎",AT8="◎"),"",
IF(AND(AS8="○",AT8="×"),"パーテーション（１行目）：「明細」シートが入力不十分、納品の日付が未入力/",
IF(AND(AS8="○",AT8="○"),"",
IF(AND(AS8="○",AT8="◎"),"パーテーション（１行目）：納品の日付が未入力/",
IF(AND(AS8="×",AT8="×"),"パーテーション（１行目）：「明細」シートの入力不十分、納品の日付が未入力/",
IF(AND(AS8="×",AT8="○"),"パーテーション（１行目）：「明細」シートが未入力、納品の日付が入力不十分/",
IF(AND(AS8="×",AT8="◎"),"パーテーション（１行目）：納品の日付が入力不十分/")))))))))</f>
        <v/>
      </c>
      <c r="AX8" s="268">
        <f>ROUNDDOWN('明細（空清機・パーテ・ベッド）'!AG35,-3)</f>
        <v>0</v>
      </c>
      <c r="AY8" s="16"/>
      <c r="AZ8" s="16"/>
    </row>
    <row r="9" spans="2:52" ht="75" customHeight="1" x14ac:dyDescent="0.4">
      <c r="B9" s="686"/>
      <c r="C9" s="221" t="str">
        <f>IF(OR('明細（空清機・パーテ・ベッド）'!$BG$39&lt;&gt;"◎",'明細（空清機・パーテ・ベッド）'!B36=""),"",'明細（空清機・パーテ・ベッド）'!B36)</f>
        <v/>
      </c>
      <c r="D9" s="47">
        <f>IF('明細（空清機・パーテ・ベッド）'!P36="",0,'明細（空清機・パーテ・ベッド）'!P36)</f>
        <v>0</v>
      </c>
      <c r="E9" s="32">
        <f>IF(D9=0,0,205000)</f>
        <v>0</v>
      </c>
      <c r="F9" s="32">
        <f>D9*E9</f>
        <v>0</v>
      </c>
      <c r="G9" s="33" t="str">
        <f>IF(OR('明細（空清機・パーテ・ベッド）'!$BG$39&lt;&gt;"◎",'明細（空清機・パーテ・ベッド）'!B36=""),"",'明細（空清機・パーテ・ベッド）'!B36)</f>
        <v/>
      </c>
      <c r="H9" s="47">
        <f>IF('明細（空清機・パーテ・ベッド）'!$BG$39&lt;&gt;"◎",0,'明細（空清機・パーテ・ベッド）'!P36)</f>
        <v>0</v>
      </c>
      <c r="I9" s="220">
        <f>IF('明細（空清機・パーテ・ベッド）'!$BG$39&lt;&gt;"◎",0,'明細（空清機・パーテ・ベッド）'!W36)</f>
        <v>0</v>
      </c>
      <c r="J9" s="32">
        <f>IF('明細（空清機・パーテ・ベッド）'!$BG$39&lt;&gt;"◎",0,額内訳書!H9*額内訳書!I9)</f>
        <v>0</v>
      </c>
      <c r="K9" s="34" t="s">
        <v>156</v>
      </c>
      <c r="L9" s="358"/>
      <c r="M9" s="35" t="s">
        <v>82</v>
      </c>
      <c r="N9" s="358"/>
      <c r="O9" s="35" t="s">
        <v>84</v>
      </c>
      <c r="P9" s="358"/>
      <c r="Q9" s="36" t="s">
        <v>86</v>
      </c>
      <c r="Z9" s="12"/>
      <c r="AE9" s="246"/>
      <c r="AF9" s="206"/>
      <c r="AG9" s="242"/>
      <c r="AI9" s="412" t="str">
        <f t="shared" si="0"/>
        <v/>
      </c>
      <c r="AJ9" s="413" t="str">
        <f t="shared" si="1"/>
        <v/>
      </c>
      <c r="AK9" s="414" t="str">
        <f t="shared" si="3"/>
        <v/>
      </c>
      <c r="AL9" s="415" t="str">
        <f t="shared" si="4"/>
        <v/>
      </c>
      <c r="AM9" s="243"/>
      <c r="AN9" s="206"/>
      <c r="AR9" s="12" t="s">
        <v>79</v>
      </c>
      <c r="AS9" s="379" t="str">
        <f t="shared" si="5"/>
        <v>○</v>
      </c>
      <c r="AT9" s="379" t="str">
        <f>'明細（空清機・パーテ・ベッド）'!BG36</f>
        <v>○</v>
      </c>
      <c r="AU9" s="379" t="str">
        <f t="shared" si="2"/>
        <v>○</v>
      </c>
      <c r="AV9" s="266" t="str">
        <f>IF(AND(AS9="◎",AT9="×"),
"【要修正】以下を確認してください。"&amp;CHAR(10)&amp;"《パーテーションの明細シートをご確認ください》本シートで納品の日付が入力されていますが、明細シートが入力不十分です。",
IF(AND(AS9="◎",AT9="○"),
"【要修正】以下を確認してください。"&amp;CHAR(10)&amp;"《パーテーションの明細シートをご確認ください》本シートで納品の日付が入力されていますが、明細シートが未入力です。",
IF(AND(AS9="◎",AT9="◎"),
"必要情報が全て入力されました。",
IF(AND(AS9="○",AT9="×"),
"【要修正】以下を確認してください。"&amp;CHAR(10)&amp;"《パーテーションの明細シートをご確認ください》入力が不十分です。"&amp;CHAR(10)&amp;
"《このシートをご確認ください》納品の日付が未入力です。",
IF(AND(AS9="○",AT9="○"),
"申請しない場合は入力不要です。",
IF(AND(AS9="○",AT9="◎"),
"【要修正】以下を確認してください。"&amp;CHAR(10)&amp;"《このシートをご確認ください》パーテーションの明細シートは入力されていますが、納品の日付が未入力です。",
IF(AND(AS9="×",AT9="×"),
"【要修正】以下を確認してください。"&amp;CHAR(10)&amp;"《パーテーションの明細シートをご確認ください》入力が不十分です。"&amp;CHAR(10)&amp;
"《このシートをご確認ください》納品の日付が入力不十分です。",
IF(AND(AS9="×",AT9="○"),
"【要修正】以下を確認してください。"&amp;CHAR(10)&amp;"《パーテーションの明細シートをご確認ください》未入力の状態です。"&amp;CHAR(10)&amp;
"《このシートをご確認ください》納品の日付が未入力です。",
IF(AND(AS9="×",AT9="◎"),
"【要修正】以下を確認してください。"&amp;CHAR(10)&amp;"《このシートをご確認ください》納品の日付が未入力です。")))))))))</f>
        <v>申請しない場合は入力不要です。</v>
      </c>
      <c r="AW9" s="267" t="str">
        <f>IF(AND(AS9="◎",AT9="×"),"パーテーション（２行目）：「明細」シートが入力不十分/",
IF(AND(AS9="◎",AT9="○"),"パーテーション（２行目）：「明細」シートが未入力/",
IF(AND(AS9="◎",AT9="◎"),"",
IF(AND(AS9="○",AT9="×"),"パーテーション（２行目）：「明細」シートが入力不十分、納品の日付が未入力/",
IF(AND(AS9="○",AT9="○"),"",
IF(AND(AS9="○",AT9="◎"),"パーテーション（２行目）：納品の日付が未入力/",
IF(AND(AS9="×",AT9="×"),"パーテーション（２行目）：「明細」シートの入力不十分、納品の日付が未入力/",
IF(AND(AS9="×",AT9="○"),"パーテーション（２行目）：「明細」シートが未入力、納品の日付が入力不十分/",
IF(AND(AS9="×",AT9="◎"),"パーテーション（２行目）：納品の日付が入力不十分/")))))))))</f>
        <v/>
      </c>
      <c r="AX9" s="268">
        <f>ROUNDDOWN('明細（空清機・パーテ・ベッド）'!AG36,-3)</f>
        <v>0</v>
      </c>
      <c r="AY9" s="16"/>
      <c r="AZ9" s="16"/>
    </row>
    <row r="10" spans="2:52" ht="75" customHeight="1" x14ac:dyDescent="0.4">
      <c r="B10" s="686"/>
      <c r="C10" s="221" t="str">
        <f>IF(OR('明細（空清機・パーテ・ベッド）'!$BG$39&lt;&gt;"◎",'明細（空清機・パーテ・ベッド）'!B37=""),"",'明細（空清機・パーテ・ベッド）'!B37)</f>
        <v/>
      </c>
      <c r="D10" s="47">
        <f>IF('明細（空清機・パーテ・ベッド）'!P37="",0,'明細（空清機・パーテ・ベッド）'!P37)</f>
        <v>0</v>
      </c>
      <c r="E10" s="32">
        <f>IF(D10=0,0,205000)</f>
        <v>0</v>
      </c>
      <c r="F10" s="32">
        <f>D10*E10</f>
        <v>0</v>
      </c>
      <c r="G10" s="33" t="str">
        <f>IF(OR('明細（空清機・パーテ・ベッド）'!$BG$39&lt;&gt;"◎",'明細（空清機・パーテ・ベッド）'!B37=""),"",'明細（空清機・パーテ・ベッド）'!B37)</f>
        <v/>
      </c>
      <c r="H10" s="47">
        <f>IF('明細（空清機・パーテ・ベッド）'!$BG$39&lt;&gt;"◎",0,'明細（空清機・パーテ・ベッド）'!P37)</f>
        <v>0</v>
      </c>
      <c r="I10" s="220">
        <f>IF('明細（空清機・パーテ・ベッド）'!$BG$39&lt;&gt;"◎",0,'明細（空清機・パーテ・ベッド）'!W37)</f>
        <v>0</v>
      </c>
      <c r="J10" s="32">
        <f>IF('明細（空清機・パーテ・ベッド）'!$BG$39&lt;&gt;"◎",0,額内訳書!H10*額内訳書!I10)</f>
        <v>0</v>
      </c>
      <c r="K10" s="34" t="s">
        <v>80</v>
      </c>
      <c r="L10" s="358"/>
      <c r="M10" s="35" t="s">
        <v>82</v>
      </c>
      <c r="N10" s="358"/>
      <c r="O10" s="35" t="s">
        <v>84</v>
      </c>
      <c r="P10" s="358"/>
      <c r="Q10" s="36" t="s">
        <v>86</v>
      </c>
      <c r="Z10" s="12"/>
      <c r="AE10" s="246"/>
      <c r="AF10" s="206"/>
      <c r="AG10" s="242"/>
      <c r="AI10" s="412" t="str">
        <f t="shared" si="0"/>
        <v/>
      </c>
      <c r="AJ10" s="413" t="str">
        <f t="shared" si="1"/>
        <v/>
      </c>
      <c r="AK10" s="414" t="str">
        <f t="shared" si="3"/>
        <v/>
      </c>
      <c r="AL10" s="415" t="str">
        <f t="shared" si="4"/>
        <v/>
      </c>
      <c r="AM10" s="243"/>
      <c r="AN10" s="206"/>
      <c r="AR10" s="12" t="s">
        <v>79</v>
      </c>
      <c r="AS10" s="379" t="str">
        <f t="shared" si="5"/>
        <v>○</v>
      </c>
      <c r="AT10" s="379" t="str">
        <f>'明細（空清機・パーテ・ベッド）'!BG37</f>
        <v>○</v>
      </c>
      <c r="AU10" s="379" t="str">
        <f t="shared" si="2"/>
        <v>○</v>
      </c>
      <c r="AV10" s="266" t="str">
        <f>IF(AND(AS10="◎",AT10="×"),
"【要修正】以下を確認してください。"&amp;CHAR(10)&amp;"《パーテーションの明細シートをご確認ください》本シートで納品の日付が入力されていますが、明細シートが入力不十分です。",
IF(AND(AS10="◎",AT10="○"),
"【要修正】以下を確認してください。"&amp;CHAR(10)&amp;"《パーテーションの明細シートをご確認ください》本シートで納品の日付が入力されていますが、明細シートが未入力です。",
IF(AND(AS10="◎",AT10="◎"),
"必要情報が全て入力されました。",
IF(AND(AS10="○",AT10="×"),
"【要修正】以下を確認してください。"&amp;CHAR(10)&amp;"《パーテーションの明細シートをご確認ください》入力が不十分です。"&amp;CHAR(10)&amp;
"《このシートをご確認ください》納品の日付が未入力です。",
IF(AND(AS10="○",AT10="○"),
"申請しない場合は入力不要です。",
IF(AND(AS10="○",AT10="◎"),
"【要修正】以下を確認してください。"&amp;CHAR(10)&amp;"《このシートをご確認ください》パーテーションの明細シートは入力されていますが、納品の日付が未入力です。",
IF(AND(AS10="×",AT10="×"),
"【要修正】以下を確認してください。"&amp;CHAR(10)&amp;"《パーテーションの明細シートをご確認ください》入力が不十分です。"&amp;CHAR(10)&amp;
"《このシートをご確認ください》納品の日付が入力不十分です。",
IF(AND(AS10="×",AT10="○"),
"【要修正】以下を確認してください。"&amp;CHAR(10)&amp;"《パーテーションの明細シートをご確認ください》未入力の状態です。"&amp;CHAR(10)&amp;
"《このシートをご確認ください》納品の日付が未入力です。",
IF(AND(AS10="×",AT10="◎"),
"【要修正】以下を確認してください。"&amp;CHAR(10)&amp;"《このシートをご確認ください》納品の日付が未入力です。")))))))))</f>
        <v>申請しない場合は入力不要です。</v>
      </c>
      <c r="AW10" s="267" t="str">
        <f>IF(AND(AS10="◎",AT10="×"),"パーテーション（３行目）：「明細」シートが入力不十分/",
IF(AND(AS10="◎",AT10="○"),"パーテーション（３行目）：「明細」シートが未入力/",
IF(AND(AS10="◎",AT10="◎"),"",
IF(AND(AS10="○",AT10="×"),"パーテーション（３行目）：「明細」シートが入力不十分、納品の日付が未入力/",
IF(AND(AS10="○",AT10="○"),"",
IF(AND(AS10="○",AT10="◎"),"パーテーション（３行目）：納品の日付が未入力/",
IF(AND(AS10="×",AT10="×"),"パーテーション（３行目）：「明細」シートの入力不十分、納品の日付が未入力/",
IF(AND(AS10="×",AT10="○"),"パーテーション（３行目）：「明細」シートが未入力、納品の日付が入力不十分/",
IF(AND(AS10="×",AT10="◎"),"パーテーション（３行目）：納品の日付が入力不十分/")))))))))</f>
        <v/>
      </c>
      <c r="AX10" s="268">
        <f>ROUNDDOWN('明細（空清機・パーテ・ベッド）'!AG37,-3)</f>
        <v>0</v>
      </c>
      <c r="AY10" s="16"/>
      <c r="AZ10" s="16"/>
    </row>
    <row r="11" spans="2:52" ht="75" customHeight="1" x14ac:dyDescent="0.4">
      <c r="B11" s="687"/>
      <c r="C11" s="223" t="str">
        <f>IF(OR('明細（空清機・パーテ・ベッド）'!$BG$39&lt;&gt;"◎",'明細（空清機・パーテ・ベッド）'!B38=""),"",'明細（空清機・パーテ・ベッド）'!B38)</f>
        <v/>
      </c>
      <c r="D11" s="218">
        <f>IF('明細（空清機・パーテ・ベッド）'!P38="",0,'明細（空清機・パーテ・ベッド）'!P38)</f>
        <v>0</v>
      </c>
      <c r="E11" s="37">
        <f>IF(D11=0,0,205000)</f>
        <v>0</v>
      </c>
      <c r="F11" s="37">
        <f t="shared" ref="F11:F16" si="6">D11*E11</f>
        <v>0</v>
      </c>
      <c r="G11" s="38" t="str">
        <f>IF(OR('明細（空清機・パーテ・ベッド）'!$BG$39&lt;&gt;"◎",'明細（空清機・パーテ・ベッド）'!B38=""),"",'明細（空清機・パーテ・ベッド）'!B38)</f>
        <v/>
      </c>
      <c r="H11" s="218">
        <f>IF('明細（空清機・パーテ・ベッド）'!$BG$39&lt;&gt;"◎",0,'明細（空清機・パーテ・ベッド）'!P38)</f>
        <v>0</v>
      </c>
      <c r="I11" s="222">
        <f>IF('明細（空清機・パーテ・ベッド）'!$BG$39&lt;&gt;"◎",0,'明細（空清機・パーテ・ベッド）'!W38)</f>
        <v>0</v>
      </c>
      <c r="J11" s="37">
        <f>IF('明細（空清機・パーテ・ベッド）'!$BG$39&lt;&gt;"◎",0,額内訳書!H11*額内訳書!I11)</f>
        <v>0</v>
      </c>
      <c r="K11" s="39" t="s">
        <v>80</v>
      </c>
      <c r="L11" s="359"/>
      <c r="M11" s="40" t="s">
        <v>82</v>
      </c>
      <c r="N11" s="359"/>
      <c r="O11" s="40" t="s">
        <v>84</v>
      </c>
      <c r="P11" s="359"/>
      <c r="Q11" s="41" t="s">
        <v>86</v>
      </c>
      <c r="Z11" s="12"/>
      <c r="AE11" s="246"/>
      <c r="AF11" s="206"/>
      <c r="AG11" s="242"/>
      <c r="AI11" s="412" t="str">
        <f t="shared" si="0"/>
        <v/>
      </c>
      <c r="AJ11" s="413" t="str">
        <f t="shared" si="1"/>
        <v/>
      </c>
      <c r="AK11" s="414" t="str">
        <f t="shared" si="3"/>
        <v/>
      </c>
      <c r="AL11" s="415" t="str">
        <f t="shared" si="4"/>
        <v/>
      </c>
      <c r="AM11" s="243"/>
      <c r="AN11" s="206"/>
      <c r="AR11" s="12" t="s">
        <v>79</v>
      </c>
      <c r="AS11" s="379" t="str">
        <f t="shared" si="5"/>
        <v>○</v>
      </c>
      <c r="AT11" s="379" t="str">
        <f>'明細（空清機・パーテ・ベッド）'!BG38</f>
        <v>○</v>
      </c>
      <c r="AU11" s="379" t="str">
        <f t="shared" si="2"/>
        <v>○</v>
      </c>
      <c r="AV11" s="266" t="str">
        <f>IF(AND(AS11="◎",AT11="×"),
"【要修正】以下を確認してください。"&amp;CHAR(10)&amp;"《パーテーションの明細シートをご確認ください》本シートで納品の日付が入力されていますが、明細シートが入力不十分です。",
IF(AND(AS11="◎",AT11="○"),
"【要修正】以下を確認してください。"&amp;CHAR(10)&amp;"《パーテーションの明細シートをご確認ください》本シートで納品の日付が入力されていますが、明細シートが未入力です。",
IF(AND(AS11="◎",AT11="◎"),
"必要情報が全て入力されました。",
IF(AND(AS11="○",AT11="×"),
"【要修正】以下を確認してください。"&amp;CHAR(10)&amp;"《パーテーションの明細シートをご確認ください》入力が不十分です。"&amp;CHAR(10)&amp;
"《このシートをご確認ください》納品の日付が未入力です。",
IF(AND(AS11="○",AT11="○"),
"申請しない場合は入力不要です。",
IF(AND(AS11="○",AT11="◎"),
"【要修正】以下を確認してください。"&amp;CHAR(10)&amp;"《このシートをご確認ください》パーテーションの明細シートは入力されていますが、納品の日付が未入力です。",
IF(AND(AS11="×",AT11="×"),
"【要修正】以下を確認してください。"&amp;CHAR(10)&amp;"《パーテーションの明細シートをご確認ください》入力が不十分です。"&amp;CHAR(10)&amp;
"《このシートをご確認ください》納品の日付が入力不十分です。",
IF(AND(AS11="×",AT11="○"),
"【要修正】以下を確認してください。"&amp;CHAR(10)&amp;"《パーテーションの明細シートをご確認ください》未入力の状態です。"&amp;CHAR(10)&amp;
"《このシートをご確認ください》納品の日付が未入力です。",
IF(AND(AS11="×",AT11="◎"),
"【要修正】以下を確認してください。"&amp;CHAR(10)&amp;"《このシートをご確認ください》納品の日付が未入力です。")))))))))</f>
        <v>申請しない場合は入力不要です。</v>
      </c>
      <c r="AW11" s="267" t="str">
        <f>IF(AND(AS11="◎",AT11="×"),"パーテーション（４行目）：「明細」シートが入力不十分/",
IF(AND(AS11="◎",AT11="○"),"パーテーション（４行目）：「明細」シートが未入力/",
IF(AND(AS11="◎",AT11="◎"),"",
IF(AND(AS11="○",AT11="×"),"パーテーション（４行目）：「明細」シートが入力不十分、納品の日付が未入力/",
IF(AND(AS11="○",AT11="○"),"",
IF(AND(AS11="○",AT11="◎"),"パーテーション（４行目）：納品の日付が未入力/",
IF(AND(AS11="×",AT11="×"),"パーテーション（４行目）：「明細」シートの入力不十分、納品の日付が未入力/",
IF(AND(AS11="×",AT11="○"),"パーテーション（４行目）：「明細」シートが未入力、納品の日付が入力不十分/",
IF(AND(AS11="×",AT11="◎"),"パーテーション（４行目）：納品の日付が入力不十分/")))))))))</f>
        <v/>
      </c>
      <c r="AX11" s="268">
        <f>ROUNDDOWN('明細（空清機・パーテ・ベッド）'!AG38,-3)</f>
        <v>0</v>
      </c>
      <c r="AY11" s="16"/>
      <c r="AZ11" s="16"/>
    </row>
    <row r="12" spans="2:52" ht="75" customHeight="1" x14ac:dyDescent="0.4">
      <c r="B12" s="373" t="s">
        <v>2</v>
      </c>
      <c r="C12" s="42" t="str">
        <f>IF(I12&gt;0,"（添付明細のとおり）","-")</f>
        <v>-</v>
      </c>
      <c r="D12" s="115">
        <f>IF(防護具明細!AN118="×",0,
IF(防護具明細!AN118="○",0,
IF(防護具明細!AN118="◎",防護具明細!C8)))</f>
        <v>0</v>
      </c>
      <c r="E12" s="27">
        <v>3600</v>
      </c>
      <c r="F12" s="27">
        <f>D12*E12</f>
        <v>0</v>
      </c>
      <c r="G12" s="43" t="str">
        <f>IF(C12="-","-",C12)</f>
        <v>-</v>
      </c>
      <c r="H12" s="44">
        <f>IF(I12&gt;0,1,0)</f>
        <v>0</v>
      </c>
      <c r="I12" s="45">
        <f xml:space="preserve">
IF(AND(防護具明細!AM118="×",防護具明細!AM119="×"),0,
IF(AND(防護具明細!AM118="×",防護具明細!AM119="○"),0,
IF(AND(防護具明細!AM118="×",防護具明細!AM119="◎"),0,
IF(AND(防護具明細!AM118="○",防護具明細!AM119="×"),0,
IF(AND(防護具明細!AM118="○",防護具明細!AM119="○"),0,
IF(AND(防護具明細!AM118="○",防護具明細!AM119="◎"),0,
IF(AND(防護具明細!AM118="◎",防護具明細!AM119="×"),0,
IF(AND(防護具明細!AM118="◎",防護具明細!AM119="○"),0,
IF(AND(防護具明細!AM118="◎",防護具明細!AM119="◎"),防護具明細!I2)))))))))</f>
        <v>0</v>
      </c>
      <c r="J12" s="27">
        <f>H12*I12</f>
        <v>0</v>
      </c>
      <c r="K12" s="22" t="s">
        <v>80</v>
      </c>
      <c r="L12" s="356"/>
      <c r="M12" s="23" t="s">
        <v>82</v>
      </c>
      <c r="N12" s="356"/>
      <c r="O12" s="23" t="s">
        <v>84</v>
      </c>
      <c r="P12" s="356"/>
      <c r="Q12" s="24" t="s">
        <v>86</v>
      </c>
      <c r="Z12" s="46"/>
      <c r="AE12" s="246"/>
      <c r="AF12" s="206"/>
      <c r="AG12" s="242"/>
      <c r="AI12" s="412" t="str">
        <f t="shared" si="0"/>
        <v/>
      </c>
      <c r="AJ12" s="413" t="str">
        <f t="shared" si="1"/>
        <v/>
      </c>
      <c r="AK12" s="414" t="str">
        <f t="shared" si="3"/>
        <v/>
      </c>
      <c r="AL12" s="415" t="str">
        <f t="shared" si="4"/>
        <v/>
      </c>
      <c r="AM12" s="243"/>
      <c r="AN12" s="206"/>
      <c r="AR12" s="12" t="s">
        <v>79</v>
      </c>
      <c r="AS12" s="379" t="str">
        <f t="shared" si="5"/>
        <v>○</v>
      </c>
      <c r="AT12" s="379" t="str">
        <f>防護具明細!AN118</f>
        <v>○</v>
      </c>
      <c r="AU12" s="379" t="str">
        <f>IF(AND(AS12="◎",AT12="×"),"×",
IF(AND(AS12="◎",AT12="○"),"×",
IF(AND(AS12="◎",AT12="◎"),"◎",
IF(AND(AS12="○",AT12="×"),"×",
IF(AND(AS12="○",AT12="○"),"○",
IF(AND(AS12="○",AT12="◎"),"×",
IF(AND(AS12="×",AT12="×"),"×",
IF(AND(AS12="×",AT12="○"),"×",
IF(AND(AS12="×",AT12="◎"),"×")))))))))</f>
        <v>○</v>
      </c>
      <c r="AV12" s="266" t="str">
        <f>IF(AND(AS12="◎",AT12="×"),"【要修正】以下を確認してください。"&amp;CHAR(10)&amp;"《個人防護具のシートをご確認ください》本シートで納品の日付が入力されていますが、員数、防護具情報の入力に不足が有ります。",
IF(AND(AS12="◎",AT12="○"),"【要修正】以下を確認してください。"&amp;CHAR(10)&amp;"《個人防護具のシートをご確認ください》本シートで納品の日付が入力されていますが、個人防護具の申請情報が未入力となっています。",
IF(AND(AS12="◎",AT12="◎"),"必要情報が全て入力されました。",
IF(AND(AS12="○",AT12="×"),"【要修正】以下を確認してください。"&amp;CHAR(10)&amp;"《個人防護具のシートをご確認ください》入力に不足が有ります。"&amp;CHAR(10)&amp;"《このシートをご確認ください》事業完了予定の日付の入力が未入力となっています。",
IF(AND(AS12="○",AT12="○"),"申請しない場合は個人防護具シートの入力は不要です。",
IF(AND(AS12="○",AT12="◎"),"【要修正】以下を確認してください。"&amp;CHAR(10)&amp;"《このシートをご確認ください》個人防護具のシートに入力されていますが、事業完了予定の日付が未記入となっています。",
IF(AND(AS12="×",AT12="×"),"【要修正】以下を確認してください。"&amp;CHAR(10)&amp;"《個人防護具のシートをご確認ください》適切に入力されていない箇所があります。"&amp;CHAR(10)&amp;"《このシートをご確認ください》事業完了予定の日付の入力が不十分です。",
IF(AND(AS12="×",AT12="○"),"【要修正】以下を確認してください。"&amp;CHAR(10)&amp;"《個人防護具のシートをご確認ください》情報が入力されていません。"&amp;CHAR(10)&amp;"《このシートをご確認ください》事業完了予定の日付が未記入となっています。",
IF(AND(AS12="×",AT12="◎"),"【要修正】以下を確認してください。"&amp;CHAR(10)&amp;"《このシートをご確認ください》事業完了予定の日付が未記入となっています。")))))))))</f>
        <v>申請しない場合は個人防護具シートの入力は不要です。</v>
      </c>
      <c r="AW12" s="267" t="str">
        <f>IF(AND(AS12="◎",AT12="×"),"個人防護具：「明細」シートが入力不十分/",
IF(AND(AS12="◎",AT12="○"),"個人防護具：「明細」シートが未入力/",
IF(AND(AS12="◎",AT12="◎"),"",
IF(AND(AS12="○",AT12="×"),"個人防護具：「明細」シートが入力不十分、納品の日付が未入力/",
IF(AND(AS12="○",AT12="○"),"",
IF(AND(AS12="○",AT12="◎"),"個人防護具：納品の日付が未入力/",
IF(AND(AS12="×",AT12="×"),"個人防護具：「明細」シートの入力不十分、納品の日付が未入力/",
IF(AND(AS12="×",AT12="○"),"個人防護具：「明細」シートが未入力、納品の日付が入力不十分/",
IF(AND(AS12="×",AT12="◎"),"個人防護具：納品の日付が入力不十分/")))))))))</f>
        <v/>
      </c>
      <c r="AX12" s="268">
        <f>IF(F12&gt;J12,ROUNDDOWN(J12,-3),ROUNDDOWN(F12,-3))</f>
        <v>0</v>
      </c>
      <c r="AY12" s="16"/>
      <c r="AZ12" s="16"/>
    </row>
    <row r="13" spans="2:52" ht="75" customHeight="1" x14ac:dyDescent="0.4">
      <c r="B13" s="685" t="s">
        <v>3</v>
      </c>
      <c r="C13" s="219" t="str">
        <f>IF(OR('明細（空清機・パーテ・ベッド）'!$BG$51&lt;&gt;"◎",'明細（空清機・パーテ・ベッド）'!B47=""),"",'明細（空清機・パーテ・ベッド）'!B47)</f>
        <v/>
      </c>
      <c r="D13" s="26">
        <f>IF('明細（空清機・パーテ・ベッド）'!P47="",0,'明細（空清機・パーテ・ベッド）'!P47)</f>
        <v>0</v>
      </c>
      <c r="E13" s="49">
        <f>IF(D13=0,0,51400)</f>
        <v>0</v>
      </c>
      <c r="F13" s="49">
        <f>D13*E13</f>
        <v>0</v>
      </c>
      <c r="G13" s="219" t="str">
        <f>IF(OR('明細（空清機・パーテ・ベッド）'!$BG$51&lt;&gt;"◎",'明細（空清機・パーテ・ベッド）'!B47=""),"",'明細（空清機・パーテ・ベッド）'!B47)</f>
        <v/>
      </c>
      <c r="H13" s="26">
        <f>IF('明細（空清機・パーテ・ベッド）'!$BG$51&lt;&gt;"◎",0,'明細（空清機・パーテ・ベッド）'!P47)</f>
        <v>0</v>
      </c>
      <c r="I13" s="49">
        <f>IF('明細（空清機・パーテ・ベッド）'!$BG$51&lt;&gt;"◎",0,'明細（空清機・パーテ・ベッド）'!W47)</f>
        <v>0</v>
      </c>
      <c r="J13" s="49">
        <f>IF('明細（空清機・パーテ・ベッド）'!$BG$51&lt;&gt;"◎",0,H13*I13)</f>
        <v>0</v>
      </c>
      <c r="K13" s="29" t="s">
        <v>80</v>
      </c>
      <c r="L13" s="357"/>
      <c r="M13" s="30" t="s">
        <v>82</v>
      </c>
      <c r="N13" s="357"/>
      <c r="O13" s="30" t="s">
        <v>84</v>
      </c>
      <c r="P13" s="357"/>
      <c r="Q13" s="31" t="s">
        <v>86</v>
      </c>
      <c r="Z13" s="12"/>
      <c r="AE13" s="246"/>
      <c r="AF13" s="206"/>
      <c r="AG13" s="242"/>
      <c r="AI13" s="412" t="str">
        <f t="shared" si="0"/>
        <v/>
      </c>
      <c r="AJ13" s="413" t="str">
        <f t="shared" si="1"/>
        <v/>
      </c>
      <c r="AK13" s="414" t="str">
        <f t="shared" si="3"/>
        <v/>
      </c>
      <c r="AL13" s="415" t="str">
        <f t="shared" si="4"/>
        <v/>
      </c>
      <c r="AM13" s="243"/>
      <c r="AN13" s="206"/>
      <c r="AR13" s="12" t="s">
        <v>79</v>
      </c>
      <c r="AS13" s="379" t="str">
        <f t="shared" si="5"/>
        <v>○</v>
      </c>
      <c r="AT13" s="379" t="str">
        <f>'明細（空清機・パーテ・ベッド）'!BG47</f>
        <v>○</v>
      </c>
      <c r="AU13" s="379" t="str">
        <f t="shared" ref="AU13:AU17" si="7">IF(AND(AS13="◎",AT13="×"),"×",
IF(AND(AS13="◎",AT13="○"),"×",
IF(AND(AS13="◎",AT13="◎"),"◎",
IF(AND(AS13="○",AT13="×"),"×",
IF(AND(AS13="○",AT13="○"),"○",
IF(AND(AS13="○",AT13="◎"),"×",
IF(AND(AS13="×",AT13="×"),"×",
IF(AND(AS13="×",AT13="○"),"×",
IF(AND(AS13="×",AT13="◎"),"×")))))))))</f>
        <v>○</v>
      </c>
      <c r="AV13" s="266" t="str">
        <f>IF(AND(AS13="◎",AT13="×"),
"【要修正】以下を確認してください。"&amp;CHAR(10)&amp;"《簡易ベッドの明細シートをご確認ください》本シートで納品の日付が入力されていますが、明細シートが入力不十分です。",
IF(AND(AS13="◎",AT13="○"),
"【要修正】以下を確認してください。"&amp;CHAR(10)&amp;"《簡易ベッドの明細シートをご確認ください》本シートで納品の日付が入力されていますが、明細シートが未入力です。",
IF(AND(AS13="◎",AT13="◎"),
"必要情報が全て入力されました。",
IF(AND(AS13="○",AT13="×"),
"【要修正】以下を確認してください。"&amp;CHAR(10)&amp;"《簡易ベッドの明細シートをご確認ください》入力が不十分です。"&amp;CHAR(10)&amp;
"《このシートをご確認ください》納品の日付が未入力です。",
IF(AND(AS13="○",AT13="○"),
"申請しない場合は入力不要です。",
IF(AND(AS13="○",AT13="◎"),
"【要修正】以下を確認してください。"&amp;CHAR(10)&amp;"《このシートをご確認ください》簡易ベッドの明細シートは入力されていますが、納品の日付が未入力です。",
IF(AND(AS13="×",AT13="×"),
"【要修正】以下を確認してください。"&amp;CHAR(10)&amp;"《簡易ベッドの明細シートをご確認ください》入力が不十分です。"&amp;CHAR(10)&amp;
"《このシートをご確認ください》納品の日付が入力不十分です。",
IF(AND(AS13="×",AT13="○"),
"【要修正】以下を確認してください。"&amp;CHAR(10)&amp;"《簡易ベッドの明細シートをご確認ください》未入力の状態です。"&amp;CHAR(10)&amp;
"《このシートをご確認ください》納品の日付が未入力です。",
IF(AND(AS13="×",AT13="◎"),
"【要修正】以下を確認してください。"&amp;CHAR(10)&amp;"《このシートをご確認ください》納品の日付が未入力です。")))))))))</f>
        <v>申請しない場合は入力不要です。</v>
      </c>
      <c r="AW13" s="267" t="str">
        <f>IF(AND(AS13="◎",AT13="×"),"簡易ベッド（１行目）：「明細」シートが入力不十分/",
IF(AND(AS13="◎",AT13="○"),"簡易ベッド（１行目）：「明細」シートが未入力/",
IF(AND(AS13="◎",AT13="◎"),"",
IF(AND(AS13="○",AT13="×"),"簡易ベッド（１行目）：「明細」シートが入力不十分、納品の日付が未入力/",
IF(AND(AS13="○",AT13="○"),"",
IF(AND(AS13="○",AT13="◎"),"簡易ベッド（１行目）：納品の日付が未入力/",
IF(AND(AS13="×",AT13="×"),"簡易ベッド（１行目）：「明細」シートの入力不十分、納品の日付が未入力/",
IF(AND(AS13="×",AT13="○"),"簡易ベッド（１行目）：「明細」シートが未入力、納品の日付が入力不十分/",
IF(AND(AS13="×",AT13="◎"),"簡易ベッド（１行目）：納品の日付が入力不十分/")))))))))</f>
        <v/>
      </c>
      <c r="AX13" s="268">
        <f>ROUNDDOWN('明細（空清機・パーテ・ベッド）'!AG47,-3)</f>
        <v>0</v>
      </c>
      <c r="AY13" s="16"/>
      <c r="AZ13" s="16"/>
    </row>
    <row r="14" spans="2:52" ht="75" customHeight="1" x14ac:dyDescent="0.4">
      <c r="B14" s="686"/>
      <c r="C14" s="221" t="str">
        <f>IF(OR('明細（空清機・パーテ・ベッド）'!$BG$51&lt;&gt;"◎",'明細（空清機・パーテ・ベッド）'!B48=""),"",'明細（空清機・パーテ・ベッド）'!B48)</f>
        <v/>
      </c>
      <c r="D14" s="47">
        <f>IF('明細（空清機・パーテ・ベッド）'!P48="",0,'明細（空清機・パーテ・ベッド）'!P48)</f>
        <v>0</v>
      </c>
      <c r="E14" s="220">
        <f>IF(D14=0,0,51400)</f>
        <v>0</v>
      </c>
      <c r="F14" s="220">
        <f t="shared" si="6"/>
        <v>0</v>
      </c>
      <c r="G14" s="221" t="str">
        <f>IF(OR('明細（空清機・パーテ・ベッド）'!$BG$51&lt;&gt;"◎",'明細（空清機・パーテ・ベッド）'!B48=""),"",'明細（空清機・パーテ・ベッド）'!B48)</f>
        <v/>
      </c>
      <c r="H14" s="47">
        <f>IF('明細（空清機・パーテ・ベッド）'!$BG$51&lt;&gt;"◎",0,'明細（空清機・パーテ・ベッド）'!P48)</f>
        <v>0</v>
      </c>
      <c r="I14" s="220">
        <f>IF('明細（空清機・パーテ・ベッド）'!$BG$51&lt;&gt;"◎",0,'明細（空清機・パーテ・ベッド）'!W48)</f>
        <v>0</v>
      </c>
      <c r="J14" s="220">
        <f>IF('明細（空清機・パーテ・ベッド）'!$BG$51&lt;&gt;"◎",0,H14*I14)</f>
        <v>0</v>
      </c>
      <c r="K14" s="34" t="s">
        <v>80</v>
      </c>
      <c r="L14" s="358"/>
      <c r="M14" s="35" t="s">
        <v>82</v>
      </c>
      <c r="N14" s="358"/>
      <c r="O14" s="35" t="s">
        <v>84</v>
      </c>
      <c r="P14" s="358"/>
      <c r="Q14" s="36" t="s">
        <v>86</v>
      </c>
      <c r="Z14" s="12"/>
      <c r="AE14" s="246"/>
      <c r="AF14" s="206"/>
      <c r="AG14" s="242"/>
      <c r="AI14" s="412" t="str">
        <f t="shared" si="0"/>
        <v/>
      </c>
      <c r="AJ14" s="413" t="str">
        <f t="shared" si="1"/>
        <v/>
      </c>
      <c r="AK14" s="414" t="str">
        <f t="shared" si="3"/>
        <v/>
      </c>
      <c r="AL14" s="415" t="str">
        <f t="shared" si="4"/>
        <v/>
      </c>
      <c r="AM14" s="243"/>
      <c r="AN14" s="206"/>
      <c r="AR14" s="12" t="s">
        <v>79</v>
      </c>
      <c r="AS14" s="379" t="str">
        <f t="shared" si="5"/>
        <v>○</v>
      </c>
      <c r="AT14" s="379" t="str">
        <f>'明細（空清機・パーテ・ベッド）'!BG48</f>
        <v>○</v>
      </c>
      <c r="AU14" s="379" t="str">
        <f t="shared" si="7"/>
        <v>○</v>
      </c>
      <c r="AV14" s="266" t="str">
        <f>IF(AND(AS14="◎",AT14="×"),
"【要修正】以下を確認してください。"&amp;CHAR(10)&amp;"《簡易ベッドの明細シートをご確認ください》本シートで納品の日付が入力されていますが、明細シートが入力不十分です。",
IF(AND(AS14="◎",AT14="○"),
"【要修正】以下を確認してください。"&amp;CHAR(10)&amp;"《簡易ベッドの明細シートをご確認ください》本シートで納品の日付が入力されていますが、明細シートが未入力です。",
IF(AND(AS14="◎",AT14="◎"),
"必要情報が全て入力されました。",
IF(AND(AS14="○",AT14="×"),
"【要修正】以下を確認してください。"&amp;CHAR(10)&amp;"《簡易ベッドの明細シートをご確認ください》入力が不十分です。"&amp;CHAR(10)&amp;
"《このシートをご確認ください》納品の日付が未入力です。",
IF(AND(AS14="○",AT14="○"),
"申請しない場合は入力不要です。",
IF(AND(AS14="○",AT14="◎"),
"【要修正】以下を確認してください。"&amp;CHAR(10)&amp;"《このシートをご確認ください》簡易ベッドの明細シートは入力されていますが、納品の日付が未入力です。",
IF(AND(AS14="×",AT14="×"),
"【要修正】以下を確認してください。"&amp;CHAR(10)&amp;"《簡易ベッドの明細シートをご確認ください》入力が不十分です。"&amp;CHAR(10)&amp;
"《このシートをご確認ください》納品の日付が入力不十分です。",
IF(AND(AS14="×",AT14="○"),
"【要修正】以下を確認してください。"&amp;CHAR(10)&amp;"《簡易ベッドの明細シートをご確認ください》未入力の状態です。"&amp;CHAR(10)&amp;
"《このシートをご確認ください》納品の日付が未入力です。",
IF(AND(AS14="×",AT14="◎"),
"【要修正】以下を確認してください。"&amp;CHAR(10)&amp;"《このシートをご確認ください》納品の日付が未入力です。")))))))))</f>
        <v>申請しない場合は入力不要です。</v>
      </c>
      <c r="AW14" s="267" t="str">
        <f>IF(AND(AS14="◎",AT14="×"),"簡易ベッド（２行目）：「明細」シートが入力不十分/",
IF(AND(AS14="◎",AT14="○"),"簡易ベッド（２行目）：「明細」シートが未入力/",
IF(AND(AS14="◎",AT14="◎"),"",
IF(AND(AS14="○",AT14="×"),"簡易ベッド（２行目）：「明細」シートが入力不十分、納品の日付が未入力/",
IF(AND(AS14="○",AT14="○"),"",
IF(AND(AS14="○",AT14="◎"),"簡易ベッド（２行目）：納品の日付が未入力/",
IF(AND(AS14="×",AT14="×"),"簡易ベッド（２行目）：「明細」シートの入力不十分、納品の日付が未入力/",
IF(AND(AS14="×",AT14="○"),"簡易ベッド（２行目）：「明細」シートが未入力、納品の日付が入力不十分/",
IF(AND(AS14="×",AT14="◎"),"簡易ベッド（２行目）：納品の日付が入力不十分/")))))))))</f>
        <v/>
      </c>
      <c r="AX14" s="268">
        <f>ROUNDDOWN('明細（空清機・パーテ・ベッド）'!AG48,-3)</f>
        <v>0</v>
      </c>
      <c r="AY14" s="16"/>
      <c r="AZ14" s="16"/>
    </row>
    <row r="15" spans="2:52" ht="75" customHeight="1" x14ac:dyDescent="0.4">
      <c r="B15" s="686"/>
      <c r="C15" s="221" t="str">
        <f>IF(OR('明細（空清機・パーテ・ベッド）'!$BG$51&lt;&gt;"◎",'明細（空清機・パーテ・ベッド）'!B49=""),"",'明細（空清機・パーテ・ベッド）'!B49)</f>
        <v/>
      </c>
      <c r="D15" s="47">
        <f>IF('明細（空清機・パーテ・ベッド）'!P49="",0,'明細（空清機・パーテ・ベッド）'!P49)</f>
        <v>0</v>
      </c>
      <c r="E15" s="220">
        <f>IF(D15=0,0,51400)</f>
        <v>0</v>
      </c>
      <c r="F15" s="220">
        <f t="shared" si="6"/>
        <v>0</v>
      </c>
      <c r="G15" s="221" t="str">
        <f>IF(OR('明細（空清機・パーテ・ベッド）'!$BG$51&lt;&gt;"◎",'明細（空清機・パーテ・ベッド）'!B49=""),"",'明細（空清機・パーテ・ベッド）'!B49)</f>
        <v/>
      </c>
      <c r="H15" s="47">
        <f>IF('明細（空清機・パーテ・ベッド）'!$BG$51&lt;&gt;"◎",0,'明細（空清機・パーテ・ベッド）'!P49)</f>
        <v>0</v>
      </c>
      <c r="I15" s="220">
        <f>IF('明細（空清機・パーテ・ベッド）'!$BG$51&lt;&gt;"◎",0,'明細（空清機・パーテ・ベッド）'!W49)</f>
        <v>0</v>
      </c>
      <c r="J15" s="220">
        <f>IF('明細（空清機・パーテ・ベッド）'!$BG$51&lt;&gt;"◎",0,H15*I15)</f>
        <v>0</v>
      </c>
      <c r="K15" s="34" t="s">
        <v>80</v>
      </c>
      <c r="L15" s="358"/>
      <c r="M15" s="35" t="s">
        <v>82</v>
      </c>
      <c r="N15" s="358"/>
      <c r="O15" s="35" t="s">
        <v>84</v>
      </c>
      <c r="P15" s="358"/>
      <c r="Q15" s="36" t="s">
        <v>86</v>
      </c>
      <c r="Z15" s="12"/>
      <c r="AE15" s="246"/>
      <c r="AF15" s="206"/>
      <c r="AG15" s="242"/>
      <c r="AI15" s="412" t="str">
        <f t="shared" si="0"/>
        <v/>
      </c>
      <c r="AJ15" s="413" t="str">
        <f t="shared" si="1"/>
        <v/>
      </c>
      <c r="AK15" s="414" t="str">
        <f t="shared" si="3"/>
        <v/>
      </c>
      <c r="AL15" s="415" t="str">
        <f t="shared" si="4"/>
        <v/>
      </c>
      <c r="AM15" s="243"/>
      <c r="AN15" s="206"/>
      <c r="AR15" s="12" t="s">
        <v>79</v>
      </c>
      <c r="AS15" s="379" t="str">
        <f t="shared" si="5"/>
        <v>○</v>
      </c>
      <c r="AT15" s="379" t="str">
        <f>'明細（空清機・パーテ・ベッド）'!BG49</f>
        <v>○</v>
      </c>
      <c r="AU15" s="379" t="str">
        <f t="shared" si="7"/>
        <v>○</v>
      </c>
      <c r="AV15" s="266" t="str">
        <f>IF(AND(AS15="◎",AT15="×"),
"【要修正】以下を確認してください。"&amp;CHAR(10)&amp;"《簡易ベッドの明細シートをご確認ください》本シートで納品の日付が入力されていますが、明細シートが入力不十分です。",
IF(AND(AS15="◎",AT15="○"),
"【要修正】以下を確認してください。"&amp;CHAR(10)&amp;"《簡易ベッドの明細シートをご確認ください》本シートで納品の日付が入力されていますが、明細シートが未入力です。",
IF(AND(AS15="◎",AT15="◎"),
"必要情報が全て入力されました。",
IF(AND(AS15="○",AT15="×"),
"【要修正】以下を確認してください。"&amp;CHAR(10)&amp;"《簡易ベッドの明細シートをご確認ください》入力が不十分です。"&amp;CHAR(10)&amp;
"《このシートをご確認ください》納品の日付が未入力です。",
IF(AND(AS15="○",AT15="○"),
"申請しない場合は入力不要です。",
IF(AND(AS15="○",AT15="◎"),
"【要修正】以下を確認してください。"&amp;CHAR(10)&amp;"《このシートをご確認ください》簡易ベッドの明細シートは入力されていますが、納品の日付が未入力です。",
IF(AND(AS15="×",AT15="×"),
"【要修正】以下を確認してください。"&amp;CHAR(10)&amp;"《簡易ベッドの明細シートをご確認ください》入力が不十分です。"&amp;CHAR(10)&amp;
"《このシートをご確認ください》納品の日付が入力不十分です。",
IF(AND(AS15="×",AT15="○"),
"【要修正】以下を確認してください。"&amp;CHAR(10)&amp;"《簡易ベッドの明細シートをご確認ください》未入力の状態です。"&amp;CHAR(10)&amp;
"《このシートをご確認ください》納品の日付が未入力です。",
IF(AND(AS15="×",AT15="◎"),
"【要修正】以下を確認してください。"&amp;CHAR(10)&amp;"《このシートをご確認ください》納品の日付が未入力です。")))))))))</f>
        <v>申請しない場合は入力不要です。</v>
      </c>
      <c r="AW15" s="267" t="str">
        <f>IF(AND(AS15="◎",AT15="×"),"簡易ベッド（３行目）：「明細」シートが入力不十分/",
IF(AND(AS15="◎",AT15="○"),"簡易ベッド（３行目）：「明細」シートが未入力/",
IF(AND(AS15="◎",AT15="◎"),"",
IF(AND(AS15="○",AT15="×"),"簡易ベッド（３行目）：「明細」シートが入力不十分、納品の日付が未入力/",
IF(AND(AS15="○",AT15="○"),"",
IF(AND(AS15="○",AT15="◎"),"簡易ベッド（３行目）：納品の日付が未入力/",
IF(AND(AS15="×",AT15="×"),"簡易ベッド（３行目）：「明細」シートの入力不十分、納品の日付が未入力/",
IF(AND(AS15="×",AT15="○"),"簡易ベッド（３行目）：「明細」シートが未入力、納品の日付が入力不十分/",
IF(AND(AS15="×",AT15="◎"),"簡易ベッド（３行目）：納品の日付が入力不十分/")))))))))</f>
        <v/>
      </c>
      <c r="AX15" s="268">
        <f>ROUNDDOWN('明細（空清機・パーテ・ベッド）'!AG49,-3)</f>
        <v>0</v>
      </c>
      <c r="AY15" s="16"/>
      <c r="AZ15" s="16"/>
    </row>
    <row r="16" spans="2:52" ht="75" customHeight="1" x14ac:dyDescent="0.4">
      <c r="B16" s="687"/>
      <c r="C16" s="223" t="str">
        <f>IF(OR('明細（空清機・パーテ・ベッド）'!$BG$51&lt;&gt;"◎",'明細（空清機・パーテ・ベッド）'!B50=""),"",'明細（空清機・パーテ・ベッド）'!B50)</f>
        <v/>
      </c>
      <c r="D16" s="218">
        <f>IF('明細（空清機・パーテ・ベッド）'!P50="",0,'明細（空清機・パーテ・ベッド）'!P50)</f>
        <v>0</v>
      </c>
      <c r="E16" s="222">
        <f>IF(D16=0,0,51400)</f>
        <v>0</v>
      </c>
      <c r="F16" s="222">
        <f t="shared" si="6"/>
        <v>0</v>
      </c>
      <c r="G16" s="223" t="str">
        <f>IF(OR('明細（空清機・パーテ・ベッド）'!$BG$51&lt;&gt;"◎",'明細（空清機・パーテ・ベッド）'!B50=""),"",'明細（空清機・パーテ・ベッド）'!B50)</f>
        <v/>
      </c>
      <c r="H16" s="218">
        <f>IF('明細（空清機・パーテ・ベッド）'!$BG$51&lt;&gt;"◎",0,'明細（空清機・パーテ・ベッド）'!P50)</f>
        <v>0</v>
      </c>
      <c r="I16" s="222">
        <f>IF('明細（空清機・パーテ・ベッド）'!$BG$51&lt;&gt;"◎",0,'明細（空清機・パーテ・ベッド）'!W50)</f>
        <v>0</v>
      </c>
      <c r="J16" s="222">
        <f>IF('明細（空清機・パーテ・ベッド）'!$BG$51&lt;&gt;"◎",0,H16*I16)</f>
        <v>0</v>
      </c>
      <c r="K16" s="39" t="s">
        <v>80</v>
      </c>
      <c r="L16" s="359"/>
      <c r="M16" s="40" t="s">
        <v>82</v>
      </c>
      <c r="N16" s="359"/>
      <c r="O16" s="40" t="s">
        <v>84</v>
      </c>
      <c r="P16" s="359"/>
      <c r="Q16" s="41" t="s">
        <v>86</v>
      </c>
      <c r="Z16" s="12"/>
      <c r="AE16" s="246"/>
      <c r="AF16" s="206"/>
      <c r="AG16" s="242"/>
      <c r="AI16" s="412" t="str">
        <f t="shared" si="0"/>
        <v/>
      </c>
      <c r="AJ16" s="413" t="str">
        <f t="shared" si="1"/>
        <v/>
      </c>
      <c r="AK16" s="414" t="str">
        <f t="shared" si="3"/>
        <v/>
      </c>
      <c r="AL16" s="415" t="str">
        <f t="shared" si="4"/>
        <v/>
      </c>
      <c r="AM16" s="243"/>
      <c r="AN16" s="206"/>
      <c r="AR16" s="12" t="s">
        <v>79</v>
      </c>
      <c r="AS16" s="379" t="str">
        <f t="shared" si="5"/>
        <v>○</v>
      </c>
      <c r="AT16" s="379" t="str">
        <f>'明細（空清機・パーテ・ベッド）'!BG50</f>
        <v>○</v>
      </c>
      <c r="AU16" s="379" t="str">
        <f t="shared" si="7"/>
        <v>○</v>
      </c>
      <c r="AV16" s="266" t="str">
        <f>IF(AND(AS16="◎",AT16="×"),
"【要修正】以下を確認してください。"&amp;CHAR(10)&amp;"《簡易ベッドの明細シートをご確認ください》本シートで納品の日付が入力されていますが、明細シートが入力不十分です。",
IF(AND(AS16="◎",AT16="○"),
"【要修正】以下を確認してください。"&amp;CHAR(10)&amp;"《簡易ベッドの明細シートをご確認ください》本シートで納品の日付が入力されていますが、明細シートが未入力です。",
IF(AND(AS16="◎",AT16="◎"),
"必要情報が全て入力されました。",
IF(AND(AS16="○",AT16="×"),
"【要修正】以下を確認してください。"&amp;CHAR(10)&amp;"《簡易ベッドの明細シートをご確認ください》入力が不十分です。"&amp;CHAR(10)&amp;
"《このシートをご確認ください》納品の日付が未入力です。",
IF(AND(AS16="○",AT16="○"),
"申請しない場合は入力不要です。",
IF(AND(AS16="○",AT16="◎"),
"【要修正】以下を確認してください。"&amp;CHAR(10)&amp;"《このシートをご確認ください》簡易ベッドの明細シートは入力されていますが、納品の日付が未入力です。",
IF(AND(AS16="×",AT16="×"),
"【要修正】以下を確認してください。"&amp;CHAR(10)&amp;"《簡易ベッドの明細シートをご確認ください》入力が不十分です。"&amp;CHAR(10)&amp;
"《このシートをご確認ください》納品の日付が入力不十分です。",
IF(AND(AS16="×",AT16="○"),
"【要修正】以下を確認してください。"&amp;CHAR(10)&amp;"《簡易ベッドの明細シートをご確認ください》未入力の状態です。"&amp;CHAR(10)&amp;
"《このシートをご確認ください》納品の日付が未入力です。",
IF(AND(AS16="×",AT16="◎"),
"【要修正】以下を確認してください。"&amp;CHAR(10)&amp;"《このシートをご確認ください》納品の日付が未入力です。")))))))))</f>
        <v>申請しない場合は入力不要です。</v>
      </c>
      <c r="AW16" s="267" t="str">
        <f>IF(AND(AS16="◎",AT16="×"),"簡易ベッド（４行目）：「明細」シートが入力不十分/",
IF(AND(AS16="◎",AT16="○"),"簡易ベッド（４行目）：「明細」シートが未入力/",
IF(AND(AS16="◎",AT16="◎"),"",
IF(AND(AS16="○",AT16="×"),"簡易ベッド（４行目）：「明細」シートが入力不十分、納品の日付が未入力/",
IF(AND(AS16="○",AT16="○"),"",
IF(AND(AS16="○",AT16="◎"),"簡易ベッド（４行目）：納品の日付が未入力/",
IF(AND(AS16="×",AT16="×"),"簡易ベッド（４行目）：「明細」シートの入力不十分、納品の日付が未入力/",
IF(AND(AS16="×",AT16="○"),"簡易ベッド（４行目）：「明細」シートが未入力、納品の日付が入力不十分/",
IF(AND(AS16="×",AT16="◎"),"簡易ベッド（４行目）：納品の日付が入力不十分/")))))))))</f>
        <v/>
      </c>
      <c r="AX16" s="268">
        <f>ROUNDDOWN('明細（空清機・パーテ・ベッド）'!AG50,-3)</f>
        <v>0</v>
      </c>
      <c r="AY16" s="16"/>
      <c r="AZ16" s="16"/>
    </row>
    <row r="17" spans="2:52" ht="75" customHeight="1" thickBot="1" x14ac:dyDescent="0.45">
      <c r="B17" s="373" t="s">
        <v>4</v>
      </c>
      <c r="C17" s="42" t="str">
        <f>IF(I17&gt;0,"（添付明細のとおり）","-")</f>
        <v>-</v>
      </c>
      <c r="D17" s="48">
        <f>IF(E17&gt;0,1,0)</f>
        <v>0</v>
      </c>
      <c r="E17" s="27">
        <f>I17</f>
        <v>0</v>
      </c>
      <c r="F17" s="27">
        <f>D17*E17</f>
        <v>0</v>
      </c>
      <c r="G17" s="43" t="str">
        <f>IF(C17="-","-",C17)</f>
        <v>-</v>
      </c>
      <c r="H17" s="44">
        <f>IF(E17&gt;0,1,0)</f>
        <v>0</v>
      </c>
      <c r="I17" s="49">
        <f>IF(OR(診療室明細!AI79="×",診療室明細!AI79="○"),0,IF(診療室明細!AI79="◎",診療室明細!E2))</f>
        <v>0</v>
      </c>
      <c r="J17" s="27">
        <f>H17*I17</f>
        <v>0</v>
      </c>
      <c r="K17" s="50" t="s">
        <v>80</v>
      </c>
      <c r="L17" s="360"/>
      <c r="M17" s="51" t="s">
        <v>82</v>
      </c>
      <c r="N17" s="360"/>
      <c r="O17" s="51" t="s">
        <v>84</v>
      </c>
      <c r="P17" s="360"/>
      <c r="Q17" s="52" t="s">
        <v>86</v>
      </c>
      <c r="Z17" s="12"/>
      <c r="AE17" s="246"/>
      <c r="AF17" s="206"/>
      <c r="AG17" s="242"/>
      <c r="AI17" s="412" t="str">
        <f t="shared" si="0"/>
        <v/>
      </c>
      <c r="AJ17" s="413" t="str">
        <f t="shared" si="1"/>
        <v/>
      </c>
      <c r="AK17" s="414" t="str">
        <f t="shared" si="3"/>
        <v/>
      </c>
      <c r="AL17" s="415" t="str">
        <f t="shared" si="4"/>
        <v/>
      </c>
      <c r="AM17" s="243"/>
      <c r="AN17" s="206"/>
      <c r="AR17" s="12" t="s">
        <v>79</v>
      </c>
      <c r="AS17" s="379" t="str">
        <f t="shared" si="5"/>
        <v>○</v>
      </c>
      <c r="AT17" s="379" t="str">
        <f>診療室明細!AI79</f>
        <v>○</v>
      </c>
      <c r="AU17" s="379" t="str">
        <f t="shared" si="7"/>
        <v>○</v>
      </c>
      <c r="AV17" s="266" t="str">
        <f>IF(AND(AS17="◎",AT17="×"),
"【要修正】以下を確認してください。"&amp;CHAR(10)&amp;"《簡易診療室の明細シートをご確認ください》本シートで納品の日付が入力されていますが、明細シートが入力不十分です。",
IF(AND(AS17="◎",AT17="○"),
"【要修正】以下を確認してください。"&amp;CHAR(10)&amp;"《簡易診療室の明細シートをご確認ください》本シートで納品の日付が入力されていますが、明細シートが未入力です。",
IF(AND(AS17="◎",AT17="◎"),
"必要情報が全て入力されました。",
IF(AND(AS17="○",AT17="×"),
"【要修正】以下を確認してください。"&amp;CHAR(10)&amp;"《簡易診療室の明細シートをご確認ください》入力が不十分です。"&amp;CHAR(10)&amp;
"《このシートをご確認ください》納品の日付が未入力です。",
IF(AND(AS17="○",AT17="○"),
"申請しない場合は入力不要です。",
IF(AND(AS17="○",AT17="◎"),
"【要修正】以下を確認してください。"&amp;CHAR(10)&amp;"《このシートをご確認ください》簡易診療室の明細シートは入力されていますが、納品の日付が未入力です。",
IF(AND(AS17="×",AT17="×"),
"【要修正】以下を確認してください。"&amp;CHAR(10)&amp;"《簡易診療室の明細シートをご確認ください》入力が不十分です。"&amp;CHAR(10)&amp;
"《このシートをご確認ください》納品の日付が入力不十分です。",
IF(AND(AS17="×",AT17="○"),
"【要修正】以下を確認してください。"&amp;CHAR(10)&amp;"《簡易診療室の明細シートをご確認ください》未入力の状態です。"&amp;CHAR(10)&amp;
"《このシートをご確認ください》納品の日付が未入力です。",
IF(AND(AS17="×",AT17="◎"),
"【要修正】以下を確認してください。"&amp;CHAR(10)&amp;"《このシートをご確認ください》納品の日付が未入力です。")))))))))</f>
        <v>申請しない場合は入力不要です。</v>
      </c>
      <c r="AW17" s="267" t="str">
        <f xml:space="preserve">
IF(AND(AS17="◎",AT17="×"),"簡易診療室：「明細」シートが入力不十分。/",
IF(AND(AS17="◎",AT17="○"),"簡易診療室：「明細」シートが未入力。/",
IF(AND(AS17="◎",AT17="◎"),"",
IF(AND(AS17="○",AT17="×"),"簡易診療室：納品の日付が未入力、「明細」シートが入力不十分/",
IF(AND(AS17="○",AT17="○"),"",
IF(AND(AS17="○",AT17="◎"),"簡易診療室：納品の日付が未入力/",
IF(AND(AS17="×",AT17="×"),"簡易診療室：納品の日付及び「明細」シートの入力がいずれも不十分/",
IF(AND(AS17="×",AT17="○"),"簡易診療室：納品の日付が入力不十分、「明細」シートが未入力/",
IF(AND(AS17="×",AT17="◎"),"簡易診療室：納品の日付が入力不十分/")))))))))</f>
        <v/>
      </c>
      <c r="AX17" s="268">
        <f>ROUNDDOWN(J17,-3)</f>
        <v>0</v>
      </c>
      <c r="AY17" s="16"/>
      <c r="AZ17" s="16"/>
    </row>
    <row r="18" spans="2:52" ht="75" customHeight="1" thickTop="1" x14ac:dyDescent="0.4">
      <c r="B18" s="53" t="s">
        <v>66</v>
      </c>
      <c r="C18" s="54"/>
      <c r="D18" s="55"/>
      <c r="E18" s="56"/>
      <c r="F18" s="56"/>
      <c r="G18" s="57"/>
      <c r="H18" s="55"/>
      <c r="I18" s="58"/>
      <c r="J18" s="59">
        <f>SUM(J7:J17)</f>
        <v>0</v>
      </c>
      <c r="K18" s="671"/>
      <c r="L18" s="672"/>
      <c r="M18" s="672"/>
      <c r="N18" s="672"/>
      <c r="O18" s="672"/>
      <c r="P18" s="672"/>
      <c r="Q18" s="673"/>
      <c r="AE18" s="60"/>
      <c r="AJ18" s="206"/>
      <c r="AK18" s="244"/>
      <c r="AL18" s="206"/>
      <c r="AM18" s="206"/>
      <c r="AN18" s="206"/>
      <c r="AR18" s="12"/>
      <c r="AX18" s="258"/>
    </row>
    <row r="19" spans="2:52" ht="30" customHeight="1" x14ac:dyDescent="0.4">
      <c r="AU19" s="11">
        <f>COUNTIF(AU7:AU17,"○")</f>
        <v>11</v>
      </c>
    </row>
    <row r="20" spans="2:52" x14ac:dyDescent="0.4">
      <c r="L20" s="11">
        <v>4</v>
      </c>
      <c r="N20" s="11">
        <v>10</v>
      </c>
      <c r="P20" s="11">
        <v>1</v>
      </c>
    </row>
    <row r="21" spans="2:52" x14ac:dyDescent="0.4">
      <c r="L21" s="11">
        <v>5</v>
      </c>
      <c r="N21" s="11">
        <v>11</v>
      </c>
      <c r="P21" s="11">
        <v>2</v>
      </c>
    </row>
    <row r="22" spans="2:52" x14ac:dyDescent="0.4">
      <c r="N22" s="11">
        <v>12</v>
      </c>
      <c r="P22" s="11">
        <v>3</v>
      </c>
    </row>
    <row r="23" spans="2:52" x14ac:dyDescent="0.4">
      <c r="N23" s="11">
        <v>1</v>
      </c>
      <c r="P23" s="11">
        <v>4</v>
      </c>
    </row>
    <row r="24" spans="2:52" x14ac:dyDescent="0.4">
      <c r="N24" s="11">
        <v>2</v>
      </c>
      <c r="P24" s="11">
        <v>5</v>
      </c>
    </row>
    <row r="25" spans="2:52" x14ac:dyDescent="0.4">
      <c r="N25" s="11">
        <v>3</v>
      </c>
      <c r="P25" s="11">
        <v>6</v>
      </c>
    </row>
    <row r="26" spans="2:52" x14ac:dyDescent="0.4">
      <c r="P26" s="11">
        <v>7</v>
      </c>
    </row>
    <row r="27" spans="2:52" x14ac:dyDescent="0.4">
      <c r="P27" s="11">
        <v>8</v>
      </c>
    </row>
    <row r="28" spans="2:52" x14ac:dyDescent="0.4">
      <c r="P28" s="11">
        <v>9</v>
      </c>
    </row>
    <row r="29" spans="2:52" x14ac:dyDescent="0.4">
      <c r="P29" s="11">
        <v>10</v>
      </c>
    </row>
    <row r="30" spans="2:52" x14ac:dyDescent="0.4">
      <c r="P30" s="11">
        <v>11</v>
      </c>
    </row>
    <row r="31" spans="2:52" x14ac:dyDescent="0.4">
      <c r="P31" s="11">
        <v>12</v>
      </c>
    </row>
    <row r="32" spans="2:52" x14ac:dyDescent="0.4">
      <c r="P32" s="11">
        <v>13</v>
      </c>
    </row>
    <row r="33" spans="16:16" x14ac:dyDescent="0.4">
      <c r="P33" s="11">
        <v>14</v>
      </c>
    </row>
    <row r="34" spans="16:16" x14ac:dyDescent="0.4">
      <c r="P34" s="11">
        <v>15</v>
      </c>
    </row>
    <row r="35" spans="16:16" x14ac:dyDescent="0.4">
      <c r="P35" s="11">
        <v>16</v>
      </c>
    </row>
    <row r="36" spans="16:16" x14ac:dyDescent="0.4">
      <c r="P36" s="11">
        <v>17</v>
      </c>
    </row>
    <row r="37" spans="16:16" x14ac:dyDescent="0.4">
      <c r="P37" s="11">
        <v>18</v>
      </c>
    </row>
    <row r="38" spans="16:16" x14ac:dyDescent="0.4">
      <c r="P38" s="11">
        <v>19</v>
      </c>
    </row>
    <row r="39" spans="16:16" x14ac:dyDescent="0.4">
      <c r="P39" s="11">
        <v>20</v>
      </c>
    </row>
    <row r="40" spans="16:16" x14ac:dyDescent="0.4">
      <c r="P40" s="11">
        <v>21</v>
      </c>
    </row>
    <row r="41" spans="16:16" x14ac:dyDescent="0.4">
      <c r="P41" s="11">
        <v>22</v>
      </c>
    </row>
    <row r="42" spans="16:16" x14ac:dyDescent="0.4">
      <c r="P42" s="11">
        <v>23</v>
      </c>
    </row>
    <row r="43" spans="16:16" x14ac:dyDescent="0.4">
      <c r="P43" s="11">
        <v>24</v>
      </c>
    </row>
    <row r="44" spans="16:16" x14ac:dyDescent="0.4">
      <c r="P44" s="11">
        <v>25</v>
      </c>
    </row>
    <row r="45" spans="16:16" x14ac:dyDescent="0.4">
      <c r="P45" s="11">
        <v>26</v>
      </c>
    </row>
    <row r="46" spans="16:16" x14ac:dyDescent="0.4">
      <c r="P46" s="11">
        <v>27</v>
      </c>
    </row>
    <row r="47" spans="16:16" x14ac:dyDescent="0.4">
      <c r="P47" s="11">
        <v>28</v>
      </c>
    </row>
    <row r="48" spans="16:16" x14ac:dyDescent="0.4">
      <c r="P48" s="11">
        <v>29</v>
      </c>
    </row>
    <row r="49" spans="16:16" x14ac:dyDescent="0.4">
      <c r="P49" s="11">
        <v>30</v>
      </c>
    </row>
    <row r="50" spans="16:16" x14ac:dyDescent="0.4">
      <c r="P50" s="11">
        <v>31</v>
      </c>
    </row>
  </sheetData>
  <sheetProtection algorithmName="SHA-512" hashValue="RvKDb3Iz0Jbn/LXylxAqp7uKQDneNZ6KwP9wfxsIXW3dX/L6lFaxDVtziEsN0c6e3ps3QHxFN17fNA3mij1kHw==" saltValue="dN4QYk1nN4/0goXwDxS3yQ==" spinCount="100000" sheet="1" formatCells="0" formatColumns="0" formatRows="0"/>
  <mergeCells count="22">
    <mergeCell ref="K1:Q1"/>
    <mergeCell ref="AX2:AX5"/>
    <mergeCell ref="AW2:AW5"/>
    <mergeCell ref="AS4:AS5"/>
    <mergeCell ref="AT4:AT5"/>
    <mergeCell ref="K4:Q4"/>
    <mergeCell ref="K5:M5"/>
    <mergeCell ref="N5:O5"/>
    <mergeCell ref="P5:Q5"/>
    <mergeCell ref="K18:Q18"/>
    <mergeCell ref="B2:Q2"/>
    <mergeCell ref="AV4:AV5"/>
    <mergeCell ref="AS2:AT3"/>
    <mergeCell ref="AU2:AU3"/>
    <mergeCell ref="AV2:AV3"/>
    <mergeCell ref="AU4:AU5"/>
    <mergeCell ref="B13:B16"/>
    <mergeCell ref="B8:B11"/>
    <mergeCell ref="G4:J4"/>
    <mergeCell ref="D4:F4"/>
    <mergeCell ref="B4:B5"/>
    <mergeCell ref="C4:C5"/>
  </mergeCells>
  <phoneticPr fontId="1"/>
  <conditionalFormatting sqref="D8:D11">
    <cfRule type="expression" dxfId="33" priority="45">
      <formula>D8=""</formula>
    </cfRule>
  </conditionalFormatting>
  <conditionalFormatting sqref="D13:D16">
    <cfRule type="expression" dxfId="32" priority="26">
      <formula>D13=""</formula>
    </cfRule>
  </conditionalFormatting>
  <conditionalFormatting sqref="AV7:AV17">
    <cfRule type="containsText" dxfId="31" priority="3" operator="containsText" text="【要修正】">
      <formula>NOT(ISERROR(SEARCH("【要修正】",AV7)))</formula>
    </cfRule>
    <cfRule type="cellIs" dxfId="30" priority="8" operator="equal">
      <formula>"型番、数量、単価（税込）の一部欄のみ入力されています。申請する場合は黄色セルを全て入力してください。"</formula>
    </cfRule>
  </conditionalFormatting>
  <conditionalFormatting sqref="C8:C11">
    <cfRule type="cellIs" dxfId="29" priority="7" operator="equal">
      <formula>"型番、数量、単価（税込）の一部欄のみ入力されています。""&amp;CHAR(10)&amp;""申請する場合は黄色セルを全て入力してください。"</formula>
    </cfRule>
  </conditionalFormatting>
  <conditionalFormatting sqref="AV7:AV17">
    <cfRule type="containsText" dxfId="28" priority="4" operator="containsText" text="一部欄">
      <formula>NOT(ISERROR(SEARCH("一部欄",AV7)))</formula>
    </cfRule>
    <cfRule type="cellIs" dxfId="27" priority="5" operator="equal">
      <formula>"型番、数量、単価（税込）の一部欄のみ入力されています。申請する場合は黄色セルを全て入力してください。"</formula>
    </cfRule>
    <cfRule type="cellIs" dxfId="26" priority="6" operator="equal">
      <formula>"型番、数量、単価（税込）の一部欄のみ入力されています。申請する場合は黄色セルを全て入力してください。"</formula>
    </cfRule>
  </conditionalFormatting>
  <conditionalFormatting sqref="AU2 AS7:AU17">
    <cfRule type="containsText" dxfId="25" priority="2" operator="containsText" text="×">
      <formula>NOT(ISERROR(SEARCH("×",AS2)))</formula>
    </cfRule>
  </conditionalFormatting>
  <conditionalFormatting sqref="AV2:AV3">
    <cfRule type="containsText" dxfId="24" priority="1" operator="containsText" text="要修正">
      <formula>NOT(ISERROR(SEARCH("要修正",AV2)))</formula>
    </cfRule>
  </conditionalFormatting>
  <dataValidations xWindow="1220" yWindow="795" count="10">
    <dataValidation allowBlank="1" showInputMessage="1" showErrorMessage="1" promptTitle="税込金額を入力" prompt="数量１あたりの税込金額を入力してください。" sqref="I7:I11 I13:I16" xr:uid="{00000000-0002-0000-0600-000000000000}"/>
    <dataValidation allowBlank="1" showInputMessage="1" showErrorMessage="1" promptTitle="数量を入力" prompt="購入（またはリース）の数量を入力してください。" sqref="H7:H11 H13:H16" xr:uid="{00000000-0002-0000-0600-000001000000}"/>
    <dataValidation allowBlank="1" showInputMessage="1" showErrorMessage="1" promptTitle="【１施設１台まで補助】型番を入力" prompt="購入する空気清浄機の型番を入力してください。" sqref="C7" xr:uid="{00000000-0002-0000-0600-000002000000}"/>
    <dataValidation allowBlank="1" showInputMessage="1" showErrorMessage="1" promptTitle="型番を入力" prompt="購入する備品の型番を入力してください。" sqref="C8:C11 C13:C16" xr:uid="{00000000-0002-0000-0600-000003000000}"/>
    <dataValidation allowBlank="1" showInputMessage="1" showErrorMessage="1" promptTitle="自動で表示されます。" prompt="当該欄は、右の「対象経費支出予定額」の黄色の欄「数量」及び「単価」を入力すると自動計算で表示されます。" sqref="D13:F16 D7:F11" xr:uid="{00000000-0002-0000-0600-000004000000}"/>
    <dataValidation allowBlank="1" showInputMessage="1" showErrorMessage="1" promptTitle="自動で表示されます。" prompt="当該欄は、左の黄色の欄「型番」に入力された名称が自動で表示されます。" sqref="G7:G11 G13:G16" xr:uid="{00000000-0002-0000-0600-000005000000}"/>
    <dataValidation allowBlank="1" showInputMessage="1" showErrorMessage="1" promptTitle="自動で表示されます。" prompt="当該欄は、左の黄色の欄「数量」及び「単価」を入力すると自動計算で表示されます。" sqref="J7:J11 J13:J16" xr:uid="{00000000-0002-0000-0600-000006000000}"/>
    <dataValidation type="list" allowBlank="1" showInputMessage="1" showErrorMessage="1" promptTitle="事業完了予定の年月日を入力" prompt="事業完了の予定日（それぞれの品目毎での最終納品の日付）を入力してください。_x000a_日付が未定の場合は事業期間の終期（９月30日、あるいは３月31日）と入力してください。" sqref="P7:P17" xr:uid="{00000000-0002-0000-0600-000007000000}">
      <formula1>$P$20:$P$50</formula1>
    </dataValidation>
    <dataValidation type="list" allowBlank="1" showInputMessage="1" showErrorMessage="1" promptTitle="事業完了予定の年月日を入力" prompt="事業完了の予定日（それぞれの品目毎での最終納品の日付）を入力してください。_x000a_日付が未定の場合は事業期間の終期（９月30日、あるいは３月31日）と入力してください。" sqref="L7:L17" xr:uid="{00000000-0002-0000-0600-000008000000}">
      <formula1>$L$20:$L$21</formula1>
    </dataValidation>
    <dataValidation type="list" allowBlank="1" showInputMessage="1" showErrorMessage="1" promptTitle="事業完了予定の年月日を入力" prompt="事業完了の予定日（それぞれの品目毎での最終納品の日付）を入力してください。_x000a_日付が未定の場合は事業期間の終期（９月30日、あるいは３月31日）と入力してください。" sqref="N7:N17" xr:uid="{00000000-0002-0000-0600-000009000000}">
      <formula1>$N$20:$N$25</formula1>
    </dataValidation>
  </dataValidations>
  <printOptions horizontalCentered="1"/>
  <pageMargins left="0.59055118110236227" right="0.39370078740157483" top="0.59055118110236227" bottom="0.39370078740157483" header="0.31496062992125984" footer="0.31496062992125984"/>
  <pageSetup paperSize="9" scale="42"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B1:BI60"/>
  <sheetViews>
    <sheetView showGridLines="0" view="pageBreakPreview" topLeftCell="B1" zoomScale="50" zoomScaleNormal="40" zoomScaleSheetLayoutView="50" workbookViewId="0">
      <pane ySplit="5" topLeftCell="A8" activePane="bottomLeft" state="frozen"/>
      <selection pane="bottomLeft" activeCell="C9" sqref="C9:AK9"/>
    </sheetView>
  </sheetViews>
  <sheetFormatPr defaultColWidth="8.625" defaultRowHeight="24" x14ac:dyDescent="0.4"/>
  <cols>
    <col min="1" max="1" width="8.625" style="202"/>
    <col min="2" max="37" width="3.625" style="202" customWidth="1"/>
    <col min="38" max="59" width="8.625" style="202"/>
    <col min="60" max="60" width="100.625" style="216" customWidth="1"/>
    <col min="61" max="16384" width="8.625" style="202"/>
  </cols>
  <sheetData>
    <row r="1" spans="2:60" x14ac:dyDescent="0.4">
      <c r="AE1" s="701" t="str">
        <f>"《２次募集》"&amp;はじめに入力してください!AG18</f>
        <v>《２次募集》</v>
      </c>
      <c r="AF1" s="702"/>
      <c r="AG1" s="702"/>
      <c r="AH1" s="702"/>
      <c r="AI1" s="702"/>
      <c r="AJ1" s="702"/>
      <c r="AK1" s="702"/>
    </row>
    <row r="2" spans="2:60" x14ac:dyDescent="0.4">
      <c r="B2" s="772" t="s">
        <v>217</v>
      </c>
      <c r="C2" s="773"/>
      <c r="D2" s="773"/>
      <c r="E2" s="773"/>
      <c r="F2" s="773"/>
      <c r="G2" s="773"/>
      <c r="H2" s="773"/>
      <c r="I2" s="773"/>
      <c r="J2" s="773"/>
      <c r="K2" s="773"/>
      <c r="L2" s="773"/>
      <c r="M2" s="773"/>
      <c r="N2" s="773"/>
      <c r="O2" s="773"/>
      <c r="P2" s="773"/>
      <c r="Q2" s="773"/>
      <c r="R2" s="773"/>
      <c r="S2" s="773"/>
      <c r="T2" s="203"/>
      <c r="U2" s="203"/>
      <c r="V2" s="203"/>
      <c r="W2" s="719" t="s">
        <v>254</v>
      </c>
      <c r="X2" s="715"/>
      <c r="Y2" s="715"/>
      <c r="Z2" s="715"/>
      <c r="AA2" s="715"/>
      <c r="AB2" s="715"/>
      <c r="AC2" s="715"/>
      <c r="AD2" s="715"/>
      <c r="AE2" s="716" t="s">
        <v>257</v>
      </c>
      <c r="AF2" s="614"/>
      <c r="AG2" s="714">
        <f>AG26</f>
        <v>0</v>
      </c>
      <c r="AH2" s="715"/>
      <c r="AI2" s="715"/>
      <c r="AJ2" s="715"/>
      <c r="AK2" s="715"/>
      <c r="BF2" s="334" t="s">
        <v>318</v>
      </c>
      <c r="BG2" s="204" t="s">
        <v>259</v>
      </c>
      <c r="BH2" s="205" t="s">
        <v>260</v>
      </c>
    </row>
    <row r="3" spans="2:60" x14ac:dyDescent="0.4">
      <c r="B3" s="773"/>
      <c r="C3" s="773"/>
      <c r="D3" s="773"/>
      <c r="E3" s="773"/>
      <c r="F3" s="773"/>
      <c r="G3" s="773"/>
      <c r="H3" s="773"/>
      <c r="I3" s="773"/>
      <c r="J3" s="773"/>
      <c r="K3" s="773"/>
      <c r="L3" s="773"/>
      <c r="M3" s="773"/>
      <c r="N3" s="773"/>
      <c r="O3" s="773"/>
      <c r="P3" s="773"/>
      <c r="Q3" s="773"/>
      <c r="R3" s="773"/>
      <c r="S3" s="773"/>
      <c r="W3" s="719" t="s">
        <v>255</v>
      </c>
      <c r="X3" s="715"/>
      <c r="Y3" s="715"/>
      <c r="Z3" s="715"/>
      <c r="AA3" s="715"/>
      <c r="AB3" s="715"/>
      <c r="AC3" s="715"/>
      <c r="AD3" s="715"/>
      <c r="AE3" s="717">
        <f>P39</f>
        <v>0</v>
      </c>
      <c r="AF3" s="718"/>
      <c r="AG3" s="714">
        <f>AG39</f>
        <v>0</v>
      </c>
      <c r="AH3" s="715"/>
      <c r="AI3" s="715"/>
      <c r="AJ3" s="715"/>
      <c r="AK3" s="715"/>
      <c r="BF3" s="703" t="str">
        <f xml:space="preserve">
IF(COUNTIF(BG3:BG5,"○")=3,"○",
IF(COUNTIF(BG3:BG5,"×")&gt;=1,"×",
IF(AND(COUNTIF(BG3:BG5,"◎")&gt;=1,COUNTIF(BG3:BG5,"×")=0),"◎",
)))</f>
        <v>○</v>
      </c>
      <c r="BG3" s="204" t="str">
        <f>BG22</f>
        <v>○</v>
      </c>
      <c r="BH3" s="217" t="str">
        <f>"空気清浄機："&amp;BH22</f>
        <v>空気清浄機：申請しない場合は入力不要です。</v>
      </c>
    </row>
    <row r="4" spans="2:60" x14ac:dyDescent="0.4">
      <c r="W4" s="719" t="s">
        <v>256</v>
      </c>
      <c r="X4" s="715"/>
      <c r="Y4" s="715"/>
      <c r="Z4" s="715"/>
      <c r="AA4" s="715"/>
      <c r="AB4" s="715"/>
      <c r="AC4" s="715"/>
      <c r="AD4" s="715"/>
      <c r="AE4" s="717">
        <f>P51</f>
        <v>0</v>
      </c>
      <c r="AF4" s="718"/>
      <c r="AG4" s="714">
        <f>AG51</f>
        <v>0</v>
      </c>
      <c r="AH4" s="715"/>
      <c r="AI4" s="715"/>
      <c r="AJ4" s="715"/>
      <c r="AK4" s="715"/>
      <c r="BF4" s="438"/>
      <c r="BG4" s="204" t="str">
        <f>BG39</f>
        <v>○</v>
      </c>
      <c r="BH4" s="217" t="str">
        <f>"パーテーション："&amp;BH39</f>
        <v>パーテーション：申請しない場合は入力不要です。</v>
      </c>
    </row>
    <row r="5" spans="2:60" ht="24.95" customHeight="1" x14ac:dyDescent="0.4">
      <c r="B5" s="769" t="s">
        <v>299</v>
      </c>
      <c r="C5" s="770"/>
      <c r="D5" s="770"/>
      <c r="E5" s="770"/>
      <c r="F5" s="770"/>
      <c r="G5" s="770"/>
      <c r="H5" s="770"/>
      <c r="I5" s="770"/>
      <c r="J5" s="770"/>
      <c r="K5" s="770"/>
      <c r="L5" s="770"/>
      <c r="M5" s="770"/>
      <c r="N5" s="770"/>
      <c r="O5" s="770"/>
      <c r="P5" s="770"/>
      <c r="Q5" s="770"/>
      <c r="R5" s="770"/>
      <c r="S5" s="770"/>
      <c r="T5" s="770"/>
      <c r="U5" s="770"/>
      <c r="V5" s="770"/>
      <c r="W5" s="770"/>
      <c r="X5" s="770"/>
      <c r="Y5" s="770"/>
      <c r="Z5" s="770"/>
      <c r="AA5" s="770"/>
      <c r="AB5" s="770"/>
      <c r="AC5" s="770"/>
      <c r="AD5" s="770"/>
      <c r="AE5" s="770"/>
      <c r="AF5" s="770"/>
      <c r="AG5" s="770"/>
      <c r="AH5" s="770"/>
      <c r="AI5" s="770"/>
      <c r="AJ5" s="770"/>
      <c r="AK5" s="770"/>
      <c r="BF5" s="439"/>
      <c r="BG5" s="204" t="str">
        <f>BG51</f>
        <v>○</v>
      </c>
      <c r="BH5" s="217" t="str">
        <f>"簡易ベッド："&amp;BH51</f>
        <v>簡易ベッド：申請しない場合は入力不要です。</v>
      </c>
    </row>
    <row r="6" spans="2:60" x14ac:dyDescent="0.4">
      <c r="B6" s="263" t="s">
        <v>218</v>
      </c>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row>
    <row r="7" spans="2:60" x14ac:dyDescent="0.4">
      <c r="B7" s="202" t="s">
        <v>226</v>
      </c>
    </row>
    <row r="8" spans="2:60" x14ac:dyDescent="0.4">
      <c r="B8" s="271" t="s">
        <v>228</v>
      </c>
      <c r="C8" s="742" t="s">
        <v>229</v>
      </c>
      <c r="D8" s="743"/>
      <c r="E8" s="743"/>
      <c r="F8" s="743"/>
      <c r="G8" s="743"/>
      <c r="H8" s="743"/>
      <c r="I8" s="743"/>
      <c r="J8" s="743"/>
      <c r="K8" s="743"/>
      <c r="L8" s="743"/>
      <c r="M8" s="743"/>
      <c r="N8" s="743"/>
      <c r="O8" s="743"/>
      <c r="P8" s="743"/>
      <c r="Q8" s="743"/>
      <c r="R8" s="743"/>
      <c r="S8" s="743"/>
      <c r="T8" s="743"/>
      <c r="U8" s="743"/>
      <c r="V8" s="743"/>
      <c r="W8" s="743"/>
      <c r="X8" s="743"/>
      <c r="Y8" s="743"/>
      <c r="Z8" s="743"/>
      <c r="AA8" s="743"/>
      <c r="AB8" s="743"/>
      <c r="AC8" s="743"/>
      <c r="AD8" s="743"/>
      <c r="AE8" s="743"/>
      <c r="AF8" s="743"/>
      <c r="AG8" s="743"/>
      <c r="AH8" s="743"/>
      <c r="AI8" s="743"/>
      <c r="AJ8" s="743"/>
      <c r="AK8" s="744"/>
    </row>
    <row r="9" spans="2:60" x14ac:dyDescent="0.4">
      <c r="B9" s="275" t="s">
        <v>227</v>
      </c>
      <c r="C9" s="763" t="s">
        <v>230</v>
      </c>
      <c r="D9" s="764"/>
      <c r="E9" s="764"/>
      <c r="F9" s="764"/>
      <c r="G9" s="764"/>
      <c r="H9" s="764"/>
      <c r="I9" s="764"/>
      <c r="J9" s="764"/>
      <c r="K9" s="764"/>
      <c r="L9" s="764"/>
      <c r="M9" s="764"/>
      <c r="N9" s="764"/>
      <c r="O9" s="764"/>
      <c r="P9" s="764"/>
      <c r="Q9" s="764"/>
      <c r="R9" s="764"/>
      <c r="S9" s="764"/>
      <c r="T9" s="764"/>
      <c r="U9" s="764"/>
      <c r="V9" s="764"/>
      <c r="W9" s="764"/>
      <c r="X9" s="764"/>
      <c r="Y9" s="764"/>
      <c r="Z9" s="764"/>
      <c r="AA9" s="764"/>
      <c r="AB9" s="764"/>
      <c r="AC9" s="764"/>
      <c r="AD9" s="764"/>
      <c r="AE9" s="764"/>
      <c r="AF9" s="764"/>
      <c r="AG9" s="764"/>
      <c r="AH9" s="764"/>
      <c r="AI9" s="764"/>
      <c r="AJ9" s="764"/>
      <c r="AK9" s="765"/>
    </row>
    <row r="10" spans="2:60" x14ac:dyDescent="0.4">
      <c r="B10" s="275" t="s">
        <v>231</v>
      </c>
      <c r="C10" s="270" t="s">
        <v>232</v>
      </c>
      <c r="D10" s="270"/>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6"/>
    </row>
    <row r="11" spans="2:60" x14ac:dyDescent="0.4">
      <c r="B11" s="272" t="s">
        <v>239</v>
      </c>
      <c r="C11" s="273" t="s">
        <v>240</v>
      </c>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274"/>
    </row>
    <row r="12" spans="2:60" x14ac:dyDescent="0.4">
      <c r="B12" s="202" t="s">
        <v>234</v>
      </c>
      <c r="BG12" s="204" t="s">
        <v>259</v>
      </c>
      <c r="BH12" s="205" t="s">
        <v>260</v>
      </c>
    </row>
    <row r="13" spans="2:60" x14ac:dyDescent="0.4">
      <c r="B13" s="716" t="s">
        <v>221</v>
      </c>
      <c r="C13" s="715"/>
      <c r="D13" s="715"/>
      <c r="E13" s="715"/>
      <c r="F13" s="715"/>
      <c r="G13" s="715"/>
      <c r="H13" s="715"/>
      <c r="I13" s="715"/>
      <c r="J13" s="759"/>
      <c r="K13" s="760"/>
      <c r="L13" s="760"/>
      <c r="M13" s="760"/>
      <c r="N13" s="760"/>
      <c r="O13" s="760"/>
      <c r="P13" s="760"/>
      <c r="Q13" s="760"/>
      <c r="R13" s="760"/>
      <c r="S13" s="760"/>
      <c r="T13" s="760"/>
      <c r="U13" s="760"/>
      <c r="V13" s="760"/>
      <c r="W13" s="760"/>
      <c r="X13" s="760"/>
      <c r="Y13" s="760"/>
      <c r="Z13" s="760"/>
      <c r="AA13" s="760"/>
      <c r="AB13" s="760"/>
      <c r="AC13" s="760"/>
      <c r="AD13" s="760"/>
      <c r="AE13" s="760"/>
      <c r="AF13" s="760"/>
      <c r="AG13" s="760"/>
      <c r="AH13" s="760"/>
      <c r="AI13" s="760"/>
      <c r="AJ13" s="760"/>
      <c r="AK13" s="760"/>
      <c r="BG13" s="204" t="str">
        <f>IF(COUNTA(J13)=1,"◎","○")</f>
        <v>○</v>
      </c>
      <c r="BH13" s="217" t="str">
        <f>IF(COUNTA(J13)=1,"適切に入力がされました","申請しない場合は入力不要です。")</f>
        <v>申請しない場合は入力不要です。</v>
      </c>
    </row>
    <row r="14" spans="2:60" x14ac:dyDescent="0.4">
      <c r="B14" s="716" t="s">
        <v>222</v>
      </c>
      <c r="C14" s="715"/>
      <c r="D14" s="715"/>
      <c r="E14" s="715"/>
      <c r="F14" s="715"/>
      <c r="G14" s="715"/>
      <c r="H14" s="715"/>
      <c r="I14" s="715"/>
      <c r="J14" s="759"/>
      <c r="K14" s="760"/>
      <c r="L14" s="760"/>
      <c r="M14" s="760"/>
      <c r="N14" s="760"/>
      <c r="O14" s="760"/>
      <c r="P14" s="760"/>
      <c r="Q14" s="760"/>
      <c r="R14" s="760"/>
      <c r="S14" s="760"/>
      <c r="T14" s="760"/>
      <c r="U14" s="760"/>
      <c r="V14" s="760"/>
      <c r="W14" s="760"/>
      <c r="X14" s="760"/>
      <c r="Y14" s="760"/>
      <c r="Z14" s="760"/>
      <c r="AA14" s="760"/>
      <c r="AB14" s="760"/>
      <c r="AC14" s="760"/>
      <c r="AD14" s="760"/>
      <c r="AE14" s="760"/>
      <c r="AF14" s="760"/>
      <c r="AG14" s="760"/>
      <c r="AH14" s="760"/>
      <c r="AI14" s="760"/>
      <c r="AJ14" s="760"/>
      <c r="AK14" s="760"/>
      <c r="BG14" s="204" t="str">
        <f>IF(COUNTA(J14)=1,"◎","○")</f>
        <v>○</v>
      </c>
      <c r="BH14" s="217" t="str">
        <f>IF(COUNTA(J14)=1,"適切に入力がされました","申請しない場合は入力不要です。")</f>
        <v>申請しない場合は入力不要です。</v>
      </c>
    </row>
    <row r="15" spans="2:60" x14ac:dyDescent="0.4">
      <c r="B15" s="202" t="s">
        <v>233</v>
      </c>
    </row>
    <row r="16" spans="2:60" x14ac:dyDescent="0.4">
      <c r="B16" s="716" t="s">
        <v>57</v>
      </c>
      <c r="C16" s="614"/>
      <c r="D16" s="614"/>
      <c r="E16" s="614"/>
      <c r="F16" s="614"/>
      <c r="G16" s="614"/>
      <c r="H16" s="614"/>
      <c r="I16" s="614"/>
      <c r="J16" s="716" t="s">
        <v>261</v>
      </c>
      <c r="K16" s="614"/>
      <c r="L16" s="614"/>
      <c r="M16" s="614"/>
      <c r="N16" s="614"/>
      <c r="O16" s="614"/>
      <c r="P16" s="614"/>
      <c r="Q16" s="614"/>
      <c r="R16" s="715"/>
      <c r="S16" s="715"/>
      <c r="T16" s="715"/>
      <c r="U16" s="716" t="s">
        <v>24</v>
      </c>
      <c r="V16" s="614"/>
      <c r="W16" s="749" t="s">
        <v>75</v>
      </c>
      <c r="X16" s="750"/>
      <c r="Y16" s="750"/>
      <c r="Z16" s="750"/>
      <c r="AA16" s="750"/>
      <c r="AB16" s="749" t="s">
        <v>237</v>
      </c>
      <c r="AC16" s="750"/>
      <c r="AD16" s="750"/>
      <c r="AE16" s="750"/>
      <c r="AF16" s="750"/>
      <c r="AG16" s="749" t="s">
        <v>238</v>
      </c>
      <c r="AH16" s="750"/>
      <c r="AI16" s="750"/>
      <c r="AJ16" s="750"/>
      <c r="AK16" s="750"/>
      <c r="BG16" s="204" t="s">
        <v>259</v>
      </c>
      <c r="BH16" s="205" t="s">
        <v>260</v>
      </c>
    </row>
    <row r="17" spans="2:61" x14ac:dyDescent="0.4">
      <c r="B17" s="761"/>
      <c r="C17" s="762"/>
      <c r="D17" s="762"/>
      <c r="E17" s="762"/>
      <c r="F17" s="762"/>
      <c r="G17" s="762"/>
      <c r="H17" s="762"/>
      <c r="I17" s="762"/>
      <c r="J17" s="759"/>
      <c r="K17" s="760"/>
      <c r="L17" s="760"/>
      <c r="M17" s="760"/>
      <c r="N17" s="760"/>
      <c r="O17" s="760"/>
      <c r="P17" s="760"/>
      <c r="Q17" s="760"/>
      <c r="R17" s="760"/>
      <c r="S17" s="760"/>
      <c r="T17" s="760"/>
      <c r="U17" s="759"/>
      <c r="V17" s="760"/>
      <c r="W17" s="740"/>
      <c r="X17" s="741"/>
      <c r="Y17" s="741"/>
      <c r="Z17" s="741"/>
      <c r="AA17" s="741"/>
      <c r="AB17" s="731">
        <f>ROUNDDOWN(W17*1.1,0)</f>
        <v>0</v>
      </c>
      <c r="AC17" s="732"/>
      <c r="AD17" s="732"/>
      <c r="AE17" s="732"/>
      <c r="AF17" s="732"/>
      <c r="AG17" s="720">
        <f xml:space="preserve">
IF(COUNTA(B17:AA17)=4,U17*AB17,
IF(AND(COUNTA(B17:AA17)&gt;=1,COUNTA(B17:AA17)&lt;4),0,
IF(COUNTA(B17:AA17)=0,0)))</f>
        <v>0</v>
      </c>
      <c r="AH17" s="721"/>
      <c r="AI17" s="721"/>
      <c r="AJ17" s="721"/>
      <c r="AK17" s="721"/>
      <c r="BG17" s="204" t="str">
        <f xml:space="preserve">
IF(COUNTA(B17:AA17)=4,"◎",
IF(AND(COUNTA(B17:AA17)&gt;=1,COUNTA(B17:AA17)&lt;4),"×",
IF(COUNTA(B17:AA17)=0,"○")))</f>
        <v>○</v>
      </c>
      <c r="BH17" s="217" t="str">
        <f xml:space="preserve">
IF(COUNTA(B17:AA17)=4,"適切に入力がされました。",
IF(AND(COUNTA(B17:AA17)&gt;=1,COUNTA(B17:AA17)&lt;4),"【要修正】未入力の箇所があります。",
IF(COUNTA(B17:AA17)=0,"申請しない場合は入力不要です。")))</f>
        <v>申請しない場合は入力不要です。</v>
      </c>
    </row>
    <row r="18" spans="2:61" x14ac:dyDescent="0.4">
      <c r="B18" s="761"/>
      <c r="C18" s="762"/>
      <c r="D18" s="762"/>
      <c r="E18" s="762"/>
      <c r="F18" s="762"/>
      <c r="G18" s="762"/>
      <c r="H18" s="762"/>
      <c r="I18" s="762"/>
      <c r="J18" s="759"/>
      <c r="K18" s="760"/>
      <c r="L18" s="760"/>
      <c r="M18" s="760"/>
      <c r="N18" s="760"/>
      <c r="O18" s="760"/>
      <c r="P18" s="760"/>
      <c r="Q18" s="760"/>
      <c r="R18" s="760"/>
      <c r="S18" s="760"/>
      <c r="T18" s="760"/>
      <c r="U18" s="759"/>
      <c r="V18" s="760"/>
      <c r="W18" s="740"/>
      <c r="X18" s="741"/>
      <c r="Y18" s="741"/>
      <c r="Z18" s="741"/>
      <c r="AA18" s="741"/>
      <c r="AB18" s="731">
        <f t="shared" ref="AB18:AB20" si="0">ROUNDDOWN(W18*1.1,0)</f>
        <v>0</v>
      </c>
      <c r="AC18" s="732"/>
      <c r="AD18" s="732"/>
      <c r="AE18" s="732"/>
      <c r="AF18" s="732"/>
      <c r="AG18" s="720">
        <f t="shared" ref="AG18:AG21" si="1" xml:space="preserve">
IF(COUNTA(B18:AA18)=4,U18*AB18,
IF(AND(COUNTA(B18:AA18)&gt;=1,COUNTA(B18:AA18)&lt;4),0,
IF(COUNTA(B18:AA18)=0,0)))</f>
        <v>0</v>
      </c>
      <c r="AH18" s="721"/>
      <c r="AI18" s="721"/>
      <c r="AJ18" s="721"/>
      <c r="AK18" s="721"/>
      <c r="BG18" s="204" t="str">
        <f t="shared" ref="BG18:BG21" si="2" xml:space="preserve">
IF(COUNTA(B18:AA18)=4,"◎",
IF(AND(COUNTA(B18:AA18)&gt;=1,COUNTA(B18:AA18)&lt;4),"×",
IF(COUNTA(B18:AA18)=0,"○")))</f>
        <v>○</v>
      </c>
      <c r="BH18" s="217" t="str">
        <f t="shared" ref="BH18:BH21" si="3" xml:space="preserve">
IF(COUNTA(B18:AA18)=4,"適切に入力がされました。",
IF(AND(COUNTA(B18:AA18)&gt;=1,COUNTA(B18:AA18)&lt;4),"【要修正】未入力の箇所があります。",
IF(COUNTA(B18:AA18)=0,"申請しない場合は入力不要です。")))</f>
        <v>申請しない場合は入力不要です。</v>
      </c>
    </row>
    <row r="19" spans="2:61" x14ac:dyDescent="0.4">
      <c r="B19" s="761"/>
      <c r="C19" s="762"/>
      <c r="D19" s="762"/>
      <c r="E19" s="762"/>
      <c r="F19" s="762"/>
      <c r="G19" s="762"/>
      <c r="H19" s="762"/>
      <c r="I19" s="762"/>
      <c r="J19" s="759"/>
      <c r="K19" s="760"/>
      <c r="L19" s="760"/>
      <c r="M19" s="760"/>
      <c r="N19" s="760"/>
      <c r="O19" s="760"/>
      <c r="P19" s="760"/>
      <c r="Q19" s="760"/>
      <c r="R19" s="760"/>
      <c r="S19" s="760"/>
      <c r="T19" s="760"/>
      <c r="U19" s="759"/>
      <c r="V19" s="760"/>
      <c r="W19" s="740"/>
      <c r="X19" s="741"/>
      <c r="Y19" s="741"/>
      <c r="Z19" s="741"/>
      <c r="AA19" s="741"/>
      <c r="AB19" s="731">
        <f t="shared" si="0"/>
        <v>0</v>
      </c>
      <c r="AC19" s="732"/>
      <c r="AD19" s="732"/>
      <c r="AE19" s="732"/>
      <c r="AF19" s="732"/>
      <c r="AG19" s="720">
        <f t="shared" si="1"/>
        <v>0</v>
      </c>
      <c r="AH19" s="721"/>
      <c r="AI19" s="721"/>
      <c r="AJ19" s="721"/>
      <c r="AK19" s="721"/>
      <c r="BG19" s="204" t="str">
        <f t="shared" si="2"/>
        <v>○</v>
      </c>
      <c r="BH19" s="217" t="str">
        <f t="shared" si="3"/>
        <v>申請しない場合は入力不要です。</v>
      </c>
    </row>
    <row r="20" spans="2:61" x14ac:dyDescent="0.4">
      <c r="B20" s="761"/>
      <c r="C20" s="762"/>
      <c r="D20" s="762"/>
      <c r="E20" s="762"/>
      <c r="F20" s="762"/>
      <c r="G20" s="762"/>
      <c r="H20" s="762"/>
      <c r="I20" s="762"/>
      <c r="J20" s="759"/>
      <c r="K20" s="760"/>
      <c r="L20" s="760"/>
      <c r="M20" s="760"/>
      <c r="N20" s="760"/>
      <c r="O20" s="760"/>
      <c r="P20" s="760"/>
      <c r="Q20" s="760"/>
      <c r="R20" s="760"/>
      <c r="S20" s="760"/>
      <c r="T20" s="760"/>
      <c r="U20" s="759"/>
      <c r="V20" s="760"/>
      <c r="W20" s="740"/>
      <c r="X20" s="741"/>
      <c r="Y20" s="741"/>
      <c r="Z20" s="741"/>
      <c r="AA20" s="741"/>
      <c r="AB20" s="731">
        <f t="shared" si="0"/>
        <v>0</v>
      </c>
      <c r="AC20" s="732"/>
      <c r="AD20" s="732"/>
      <c r="AE20" s="732"/>
      <c r="AF20" s="732"/>
      <c r="AG20" s="720">
        <f t="shared" si="1"/>
        <v>0</v>
      </c>
      <c r="AH20" s="721"/>
      <c r="AI20" s="721"/>
      <c r="AJ20" s="721"/>
      <c r="AK20" s="721"/>
      <c r="BG20" s="204" t="str">
        <f t="shared" si="2"/>
        <v>○</v>
      </c>
      <c r="BH20" s="217" t="str">
        <f t="shared" si="3"/>
        <v>申請しない場合は入力不要です。</v>
      </c>
    </row>
    <row r="21" spans="2:61" ht="24.75" thickBot="1" x14ac:dyDescent="0.45">
      <c r="B21" s="784"/>
      <c r="C21" s="785"/>
      <c r="D21" s="785"/>
      <c r="E21" s="785"/>
      <c r="F21" s="785"/>
      <c r="G21" s="785"/>
      <c r="H21" s="785"/>
      <c r="I21" s="785"/>
      <c r="J21" s="786"/>
      <c r="K21" s="787"/>
      <c r="L21" s="787"/>
      <c r="M21" s="787"/>
      <c r="N21" s="787"/>
      <c r="O21" s="787"/>
      <c r="P21" s="787"/>
      <c r="Q21" s="787"/>
      <c r="R21" s="787"/>
      <c r="S21" s="787"/>
      <c r="T21" s="787"/>
      <c r="U21" s="786"/>
      <c r="V21" s="787"/>
      <c r="W21" s="729"/>
      <c r="X21" s="730"/>
      <c r="Y21" s="730"/>
      <c r="Z21" s="730"/>
      <c r="AA21" s="730"/>
      <c r="AB21" s="757">
        <f t="shared" ref="AB21" si="4">ROUNDDOWN(W21*1.1,0)</f>
        <v>0</v>
      </c>
      <c r="AC21" s="758"/>
      <c r="AD21" s="758"/>
      <c r="AE21" s="758"/>
      <c r="AF21" s="758"/>
      <c r="AG21" s="720">
        <f t="shared" si="1"/>
        <v>0</v>
      </c>
      <c r="AH21" s="721"/>
      <c r="AI21" s="721"/>
      <c r="AJ21" s="721"/>
      <c r="AK21" s="721"/>
      <c r="BG21" s="226" t="str">
        <f t="shared" si="2"/>
        <v>○</v>
      </c>
      <c r="BH21" s="227" t="str">
        <f t="shared" si="3"/>
        <v>申請しない場合は入力不要です。</v>
      </c>
    </row>
    <row r="22" spans="2:61" ht="24.75" thickTop="1" x14ac:dyDescent="0.4">
      <c r="B22" s="766"/>
      <c r="C22" s="707"/>
      <c r="D22" s="707"/>
      <c r="E22" s="707"/>
      <c r="F22" s="707"/>
      <c r="G22" s="707"/>
      <c r="H22" s="707"/>
      <c r="I22" s="707"/>
      <c r="J22" s="707"/>
      <c r="K22" s="707"/>
      <c r="L22" s="707"/>
      <c r="M22" s="707"/>
      <c r="N22" s="707"/>
      <c r="O22" s="707"/>
      <c r="P22" s="707"/>
      <c r="Q22" s="707"/>
      <c r="R22" s="707"/>
      <c r="S22" s="707"/>
      <c r="T22" s="707"/>
      <c r="U22" s="707"/>
      <c r="V22" s="707"/>
      <c r="W22" s="780" t="s">
        <v>241</v>
      </c>
      <c r="X22" s="780"/>
      <c r="Y22" s="780"/>
      <c r="Z22" s="780"/>
      <c r="AA22" s="780"/>
      <c r="AB22" s="780"/>
      <c r="AC22" s="780"/>
      <c r="AD22" s="780"/>
      <c r="AE22" s="780"/>
      <c r="AF22" s="781"/>
      <c r="AG22" s="774">
        <f xml:space="preserve">
IF(SUM(COUNTIF(BG13:BG14,"○"),COUNTIF(BG17:BG21,"○"))=7,0,
IF(SUM(COUNTIF(BG13:BG14,"×"),COUNTIF(BG17:BG21,"×"))&gt;=1,0,
IF(AND(SUM(COUNTIF(BG13:BG14,"×"),COUNTIF(BG17:BG21,"×"))=0,SUM(COUNTIF(BG13:BG14,"◎"),COUNTIF(BG17:BG21,"◎"))&gt;=1),SUM(AG17:AK21))))</f>
        <v>0</v>
      </c>
      <c r="AH22" s="775"/>
      <c r="AI22" s="775"/>
      <c r="AJ22" s="775"/>
      <c r="AK22" s="775"/>
      <c r="BG22" s="228" t="str">
        <f xml:space="preserve">
IF(SUM(COUNTIF(BG13:BG14,"○"),COUNTIF(BG17:BG21,"○"))=7,"○",
IF(SUM(COUNTIF(BG13:BG14,"×"),COUNTIF(BG17:BG21,"×"))&gt;=1,"×",
IF(AND(SUM(COUNTIF(BG13:BG14,"×"),COUNTIF(BG17:BG21,"×"))=0,SUM(COUNTIF(BG13:BG14,"◎"),COUNTIF(BG17:BG21,"◎"))&gt;=1),"◎")))</f>
        <v>○</v>
      </c>
      <c r="BH22" s="229" t="str">
        <f xml:space="preserve">
IF(SUM(COUNTIF(BG13:BG14,"○"),COUNTIF(BG17:BG21,"○"))=7,"申請しない場合は入力不要です。",
IF(SUM(COUNTIF(BG13:BG14,"×"),COUNTIF(BG17:BG21,"×"))&gt;=1,"【要修正】（１）または（２）に入力が不十分な箇所があるため金額が表示できません。",
IF(AND(SUM(COUNTIF(BG13:BG14,"×"),COUNTIF(BG17:BG21,"×"))=0,SUM(COUNTIF(BG13:BG14,"◎"),COUNTIF(BG17:BG21,"◎"))&gt;=1),"適切に入力がされました。")))</f>
        <v>申請しない場合は入力不要です。</v>
      </c>
    </row>
    <row r="23" spans="2:61" x14ac:dyDescent="0.4">
      <c r="B23" s="767"/>
      <c r="C23" s="768"/>
      <c r="D23" s="768"/>
      <c r="E23" s="768"/>
      <c r="F23" s="768"/>
      <c r="G23" s="768"/>
      <c r="H23" s="768"/>
      <c r="I23" s="768"/>
      <c r="J23" s="768"/>
      <c r="K23" s="768"/>
      <c r="L23" s="768"/>
      <c r="M23" s="768"/>
      <c r="N23" s="768"/>
      <c r="O23" s="768"/>
      <c r="P23" s="768"/>
      <c r="Q23" s="768"/>
      <c r="R23" s="768"/>
      <c r="S23" s="768"/>
      <c r="T23" s="768"/>
      <c r="U23" s="768"/>
      <c r="V23" s="768"/>
      <c r="W23" s="782" t="s">
        <v>242</v>
      </c>
      <c r="X23" s="782"/>
      <c r="Y23" s="782"/>
      <c r="Z23" s="782"/>
      <c r="AA23" s="782"/>
      <c r="AB23" s="782"/>
      <c r="AC23" s="782"/>
      <c r="AD23" s="782"/>
      <c r="AE23" s="782"/>
      <c r="AF23" s="783"/>
      <c r="AG23" s="776">
        <v>905000</v>
      </c>
      <c r="AH23" s="777"/>
      <c r="AI23" s="777"/>
      <c r="AJ23" s="777"/>
      <c r="AK23" s="777"/>
    </row>
    <row r="24" spans="2:61" ht="22.5" customHeight="1" x14ac:dyDescent="0.4">
      <c r="B24" s="767" t="s">
        <v>244</v>
      </c>
      <c r="C24" s="768"/>
      <c r="D24" s="768"/>
      <c r="E24" s="768"/>
      <c r="F24" s="768"/>
      <c r="G24" s="768"/>
      <c r="H24" s="768"/>
      <c r="I24" s="768"/>
      <c r="J24" s="768"/>
      <c r="K24" s="768"/>
      <c r="L24" s="768"/>
      <c r="M24" s="768"/>
      <c r="N24" s="768"/>
      <c r="O24" s="768"/>
      <c r="P24" s="768"/>
      <c r="Q24" s="768"/>
      <c r="R24" s="768"/>
      <c r="S24" s="768"/>
      <c r="T24" s="768"/>
      <c r="U24" s="768"/>
      <c r="V24" s="768"/>
      <c r="W24" s="768"/>
      <c r="X24" s="768"/>
      <c r="Y24" s="768"/>
      <c r="Z24" s="768"/>
      <c r="AA24" s="768"/>
      <c r="AB24" s="768"/>
      <c r="AC24" s="768"/>
      <c r="AD24" s="768"/>
      <c r="AE24" s="768"/>
      <c r="AF24" s="771"/>
      <c r="AG24" s="778"/>
      <c r="AH24" s="779"/>
      <c r="AI24" s="779"/>
      <c r="AJ24" s="779"/>
      <c r="AK24" s="779"/>
      <c r="BF24" s="704" t="s">
        <v>320</v>
      </c>
      <c r="BG24" s="705"/>
      <c r="BH24" s="705"/>
      <c r="BI24" s="618"/>
    </row>
    <row r="25" spans="2:61" x14ac:dyDescent="0.4">
      <c r="B25" s="767"/>
      <c r="C25" s="768"/>
      <c r="D25" s="768"/>
      <c r="E25" s="768"/>
      <c r="F25" s="768"/>
      <c r="G25" s="768"/>
      <c r="H25" s="768"/>
      <c r="I25" s="768"/>
      <c r="J25" s="768"/>
      <c r="K25" s="768"/>
      <c r="L25" s="768"/>
      <c r="M25" s="768"/>
      <c r="N25" s="768"/>
      <c r="O25" s="768"/>
      <c r="P25" s="768"/>
      <c r="Q25" s="768"/>
      <c r="R25" s="768"/>
      <c r="S25" s="768"/>
      <c r="T25" s="768"/>
      <c r="U25" s="768"/>
      <c r="V25" s="768"/>
      <c r="W25" s="782" t="s">
        <v>243</v>
      </c>
      <c r="X25" s="782"/>
      <c r="Y25" s="782"/>
      <c r="Z25" s="782"/>
      <c r="AA25" s="782"/>
      <c r="AB25" s="782"/>
      <c r="AC25" s="782"/>
      <c r="AD25" s="782"/>
      <c r="AE25" s="782"/>
      <c r="AF25" s="783"/>
      <c r="AG25" s="776">
        <f>AG23-AG24</f>
        <v>905000</v>
      </c>
      <c r="AH25" s="777"/>
      <c r="AI25" s="777"/>
      <c r="AJ25" s="777"/>
      <c r="AK25" s="777"/>
      <c r="BF25" s="705"/>
      <c r="BG25" s="705"/>
      <c r="BH25" s="705"/>
      <c r="BI25" s="618"/>
    </row>
    <row r="26" spans="2:61" x14ac:dyDescent="0.4">
      <c r="B26" s="767"/>
      <c r="C26" s="768"/>
      <c r="D26" s="768"/>
      <c r="E26" s="768"/>
      <c r="F26" s="768"/>
      <c r="G26" s="768"/>
      <c r="H26" s="768"/>
      <c r="I26" s="768"/>
      <c r="J26" s="768"/>
      <c r="K26" s="768"/>
      <c r="L26" s="768"/>
      <c r="M26" s="768"/>
      <c r="N26" s="768"/>
      <c r="O26" s="768"/>
      <c r="P26" s="768"/>
      <c r="Q26" s="768"/>
      <c r="R26" s="768"/>
      <c r="S26" s="768"/>
      <c r="T26" s="768"/>
      <c r="U26" s="768"/>
      <c r="V26" s="768"/>
      <c r="W26" s="782" t="s">
        <v>245</v>
      </c>
      <c r="X26" s="782"/>
      <c r="Y26" s="782"/>
      <c r="Z26" s="782"/>
      <c r="AA26" s="782"/>
      <c r="AB26" s="782"/>
      <c r="AC26" s="782"/>
      <c r="AD26" s="782"/>
      <c r="AE26" s="782"/>
      <c r="AF26" s="783"/>
      <c r="AG26" s="776">
        <f>MIN(AG22,AG25)</f>
        <v>0</v>
      </c>
      <c r="AH26" s="777"/>
      <c r="AI26" s="777"/>
      <c r="AJ26" s="777"/>
      <c r="AK26" s="777"/>
    </row>
    <row r="28" spans="2:61" x14ac:dyDescent="0.4">
      <c r="B28" s="263" t="s">
        <v>219</v>
      </c>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row>
    <row r="29" spans="2:61" x14ac:dyDescent="0.4">
      <c r="B29" s="202" t="s">
        <v>226</v>
      </c>
    </row>
    <row r="30" spans="2:61" x14ac:dyDescent="0.4">
      <c r="B30" s="271" t="s">
        <v>228</v>
      </c>
      <c r="C30" s="742" t="s">
        <v>229</v>
      </c>
      <c r="D30" s="743"/>
      <c r="E30" s="743"/>
      <c r="F30" s="743"/>
      <c r="G30" s="743"/>
      <c r="H30" s="743"/>
      <c r="I30" s="743"/>
      <c r="J30" s="743"/>
      <c r="K30" s="743"/>
      <c r="L30" s="743"/>
      <c r="M30" s="743"/>
      <c r="N30" s="743"/>
      <c r="O30" s="743"/>
      <c r="P30" s="743"/>
      <c r="Q30" s="743"/>
      <c r="R30" s="743"/>
      <c r="S30" s="743"/>
      <c r="T30" s="743"/>
      <c r="U30" s="743"/>
      <c r="V30" s="743"/>
      <c r="W30" s="743"/>
      <c r="X30" s="743"/>
      <c r="Y30" s="743"/>
      <c r="Z30" s="743"/>
      <c r="AA30" s="743"/>
      <c r="AB30" s="743"/>
      <c r="AC30" s="743"/>
      <c r="AD30" s="743"/>
      <c r="AE30" s="743"/>
      <c r="AF30" s="743"/>
      <c r="AG30" s="743"/>
      <c r="AH30" s="743"/>
      <c r="AI30" s="743"/>
      <c r="AJ30" s="743"/>
      <c r="AK30" s="744"/>
    </row>
    <row r="31" spans="2:61" x14ac:dyDescent="0.4">
      <c r="B31" s="275" t="s">
        <v>227</v>
      </c>
      <c r="C31" s="763" t="s">
        <v>230</v>
      </c>
      <c r="D31" s="764"/>
      <c r="E31" s="764"/>
      <c r="F31" s="764"/>
      <c r="G31" s="764"/>
      <c r="H31" s="764"/>
      <c r="I31" s="764"/>
      <c r="J31" s="764"/>
      <c r="K31" s="764"/>
      <c r="L31" s="764"/>
      <c r="M31" s="764"/>
      <c r="N31" s="764"/>
      <c r="O31" s="764"/>
      <c r="P31" s="764"/>
      <c r="Q31" s="764"/>
      <c r="R31" s="764"/>
      <c r="S31" s="764"/>
      <c r="T31" s="764"/>
      <c r="U31" s="764"/>
      <c r="V31" s="764"/>
      <c r="W31" s="764"/>
      <c r="X31" s="764"/>
      <c r="Y31" s="764"/>
      <c r="Z31" s="764"/>
      <c r="AA31" s="764"/>
      <c r="AB31" s="764"/>
      <c r="AC31" s="764"/>
      <c r="AD31" s="764"/>
      <c r="AE31" s="764"/>
      <c r="AF31" s="764"/>
      <c r="AG31" s="764"/>
      <c r="AH31" s="764"/>
      <c r="AI31" s="764"/>
      <c r="AJ31" s="764"/>
      <c r="AK31" s="765"/>
    </row>
    <row r="32" spans="2:61" x14ac:dyDescent="0.4">
      <c r="B32" s="272" t="s">
        <v>231</v>
      </c>
      <c r="C32" s="273" t="s">
        <v>248</v>
      </c>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4"/>
    </row>
    <row r="33" spans="2:60" x14ac:dyDescent="0.4">
      <c r="B33" s="202" t="s">
        <v>300</v>
      </c>
    </row>
    <row r="34" spans="2:60" x14ac:dyDescent="0.4">
      <c r="B34" s="745" t="s">
        <v>261</v>
      </c>
      <c r="C34" s="746"/>
      <c r="D34" s="746"/>
      <c r="E34" s="746"/>
      <c r="F34" s="746"/>
      <c r="G34" s="746"/>
      <c r="H34" s="746"/>
      <c r="I34" s="746"/>
      <c r="J34" s="745" t="s">
        <v>246</v>
      </c>
      <c r="K34" s="747"/>
      <c r="L34" s="747"/>
      <c r="M34" s="747"/>
      <c r="N34" s="747"/>
      <c r="O34" s="748"/>
      <c r="P34" s="716" t="s">
        <v>24</v>
      </c>
      <c r="Q34" s="614"/>
      <c r="R34" s="749" t="s">
        <v>75</v>
      </c>
      <c r="S34" s="750"/>
      <c r="T34" s="750"/>
      <c r="U34" s="750"/>
      <c r="V34" s="750"/>
      <c r="W34" s="749" t="s">
        <v>237</v>
      </c>
      <c r="X34" s="750"/>
      <c r="Y34" s="750"/>
      <c r="Z34" s="750"/>
      <c r="AA34" s="750"/>
      <c r="AB34" s="716" t="s">
        <v>249</v>
      </c>
      <c r="AC34" s="614"/>
      <c r="AD34" s="614"/>
      <c r="AE34" s="614"/>
      <c r="AF34" s="614"/>
      <c r="AG34" s="749" t="s">
        <v>238</v>
      </c>
      <c r="AH34" s="750"/>
      <c r="AI34" s="750"/>
      <c r="AJ34" s="750"/>
      <c r="AK34" s="750"/>
      <c r="BG34" s="204" t="s">
        <v>259</v>
      </c>
      <c r="BH34" s="205" t="s">
        <v>260</v>
      </c>
    </row>
    <row r="35" spans="2:60" x14ac:dyDescent="0.4">
      <c r="B35" s="733"/>
      <c r="C35" s="734"/>
      <c r="D35" s="734"/>
      <c r="E35" s="734"/>
      <c r="F35" s="734"/>
      <c r="G35" s="734"/>
      <c r="H35" s="734"/>
      <c r="I35" s="734"/>
      <c r="J35" s="735"/>
      <c r="K35" s="736"/>
      <c r="L35" s="736"/>
      <c r="M35" s="736"/>
      <c r="N35" s="736"/>
      <c r="O35" s="737"/>
      <c r="P35" s="738"/>
      <c r="Q35" s="739"/>
      <c r="R35" s="740"/>
      <c r="S35" s="741"/>
      <c r="T35" s="741"/>
      <c r="U35" s="741"/>
      <c r="V35" s="741"/>
      <c r="W35" s="731">
        <f>ROUNDDOWN(R35*1.1,0)</f>
        <v>0</v>
      </c>
      <c r="X35" s="732"/>
      <c r="Y35" s="732"/>
      <c r="Z35" s="732"/>
      <c r="AA35" s="732"/>
      <c r="AB35" s="714">
        <f>MIN(W35,205000)</f>
        <v>0</v>
      </c>
      <c r="AC35" s="715"/>
      <c r="AD35" s="715"/>
      <c r="AE35" s="715"/>
      <c r="AF35" s="715"/>
      <c r="AG35" s="720">
        <f xml:space="preserve">
IF(COUNTA(B35:V35)=4,P35*AB35,
IF(AND(COUNTA(B35:V35)&gt;=1,COUNTA(B35:V35)&lt;4),0,
IF(COUNTA(B35:V35)=0,0)))</f>
        <v>0</v>
      </c>
      <c r="AH35" s="721"/>
      <c r="AI35" s="721"/>
      <c r="AJ35" s="721"/>
      <c r="AK35" s="721"/>
      <c r="BG35" s="204" t="str">
        <f xml:space="preserve">
IF(COUNTA(B35:V35)=4,"◎",
IF(AND(COUNTA(B35:V35)&gt;=1,COUNTA(B35:V35)&lt;4),"×",
IF(COUNTA(B35:V35)=0,"○")))</f>
        <v>○</v>
      </c>
      <c r="BH35" s="217" t="str">
        <f xml:space="preserve">
IF(COUNTA(B35:V35)=4,"適切に入力がされました。",
IF(AND(COUNTA(B35:V35)&gt;=1,COUNTA(B35:V35)&lt;4),"【要修正】未入力の箇所があります。",
IF(COUNTA(B35:V35)=0,"申請しない場合は入力不要です。")))</f>
        <v>申請しない場合は入力不要です。</v>
      </c>
    </row>
    <row r="36" spans="2:60" x14ac:dyDescent="0.4">
      <c r="B36" s="733"/>
      <c r="C36" s="734"/>
      <c r="D36" s="734"/>
      <c r="E36" s="734"/>
      <c r="F36" s="734"/>
      <c r="G36" s="734"/>
      <c r="H36" s="734"/>
      <c r="I36" s="734"/>
      <c r="J36" s="735"/>
      <c r="K36" s="736"/>
      <c r="L36" s="736"/>
      <c r="M36" s="736"/>
      <c r="N36" s="736"/>
      <c r="O36" s="737"/>
      <c r="P36" s="738"/>
      <c r="Q36" s="739"/>
      <c r="R36" s="740"/>
      <c r="S36" s="741"/>
      <c r="T36" s="741"/>
      <c r="U36" s="741"/>
      <c r="V36" s="741"/>
      <c r="W36" s="731">
        <f>ROUNDDOWN(R36*1.1,0)</f>
        <v>0</v>
      </c>
      <c r="X36" s="732"/>
      <c r="Y36" s="732"/>
      <c r="Z36" s="732"/>
      <c r="AA36" s="732"/>
      <c r="AB36" s="751">
        <f t="shared" ref="AB36:AB38" si="5">MIN(W36,205000)</f>
        <v>0</v>
      </c>
      <c r="AC36" s="752"/>
      <c r="AD36" s="752"/>
      <c r="AE36" s="752"/>
      <c r="AF36" s="753"/>
      <c r="AG36" s="720">
        <f t="shared" ref="AG36:AG38" si="6" xml:space="preserve">
IF(COUNTA(B36:V36)=4,P36*AB36,
IF(AND(COUNTA(B36:V36)&gt;=1,COUNTA(B36:V36)&lt;4),0,
IF(COUNTA(B36:V36)=0,0)))</f>
        <v>0</v>
      </c>
      <c r="AH36" s="721"/>
      <c r="AI36" s="721"/>
      <c r="AJ36" s="721"/>
      <c r="AK36" s="721"/>
      <c r="BG36" s="204" t="str">
        <f t="shared" ref="BG36:BG38" si="7" xml:space="preserve">
IF(COUNTA(B36:V36)=4,"◎",
IF(AND(COUNTA(B36:V36)&gt;=1,COUNTA(B36:V36)&lt;4),"×",
IF(COUNTA(B36:V36)=0,"○")))</f>
        <v>○</v>
      </c>
      <c r="BH36" s="217" t="str">
        <f t="shared" ref="BH36:BH38" si="8" xml:space="preserve">
IF(COUNTA(B36:V36)=4,"適切に入力がされました。",
IF(AND(COUNTA(B36:V36)&gt;=1,COUNTA(B36:V36)&lt;4),"【要修正】未入力の箇所があります。",
IF(COUNTA(B36:V36)=0,"申請しない場合は入力不要です。")))</f>
        <v>申請しない場合は入力不要です。</v>
      </c>
    </row>
    <row r="37" spans="2:60" x14ac:dyDescent="0.4">
      <c r="B37" s="733"/>
      <c r="C37" s="734"/>
      <c r="D37" s="734"/>
      <c r="E37" s="734"/>
      <c r="F37" s="734"/>
      <c r="G37" s="734"/>
      <c r="H37" s="734"/>
      <c r="I37" s="734"/>
      <c r="J37" s="735"/>
      <c r="K37" s="736"/>
      <c r="L37" s="736"/>
      <c r="M37" s="736"/>
      <c r="N37" s="736"/>
      <c r="O37" s="737"/>
      <c r="P37" s="738"/>
      <c r="Q37" s="739"/>
      <c r="R37" s="740"/>
      <c r="S37" s="741"/>
      <c r="T37" s="741"/>
      <c r="U37" s="741"/>
      <c r="V37" s="741"/>
      <c r="W37" s="731">
        <f>ROUNDDOWN(R37*1.1,0)</f>
        <v>0</v>
      </c>
      <c r="X37" s="732"/>
      <c r="Y37" s="732"/>
      <c r="Z37" s="732"/>
      <c r="AA37" s="732"/>
      <c r="AB37" s="751">
        <f>MIN(W37,205000)</f>
        <v>0</v>
      </c>
      <c r="AC37" s="752"/>
      <c r="AD37" s="752"/>
      <c r="AE37" s="752"/>
      <c r="AF37" s="753"/>
      <c r="AG37" s="720">
        <f t="shared" si="6"/>
        <v>0</v>
      </c>
      <c r="AH37" s="721"/>
      <c r="AI37" s="721"/>
      <c r="AJ37" s="721"/>
      <c r="AK37" s="721"/>
      <c r="BG37" s="204" t="str">
        <f t="shared" si="7"/>
        <v>○</v>
      </c>
      <c r="BH37" s="217" t="str">
        <f t="shared" si="8"/>
        <v>申請しない場合は入力不要です。</v>
      </c>
    </row>
    <row r="38" spans="2:60" ht="24.75" thickBot="1" x14ac:dyDescent="0.45">
      <c r="B38" s="722"/>
      <c r="C38" s="723"/>
      <c r="D38" s="723"/>
      <c r="E38" s="723"/>
      <c r="F38" s="723"/>
      <c r="G38" s="723"/>
      <c r="H38" s="723"/>
      <c r="I38" s="723"/>
      <c r="J38" s="724"/>
      <c r="K38" s="725"/>
      <c r="L38" s="725"/>
      <c r="M38" s="725"/>
      <c r="N38" s="725"/>
      <c r="O38" s="726"/>
      <c r="P38" s="727"/>
      <c r="Q38" s="728"/>
      <c r="R38" s="729"/>
      <c r="S38" s="730"/>
      <c r="T38" s="730"/>
      <c r="U38" s="730"/>
      <c r="V38" s="730"/>
      <c r="W38" s="757">
        <f>ROUNDDOWN(R38*1.1,0)</f>
        <v>0</v>
      </c>
      <c r="X38" s="758"/>
      <c r="Y38" s="758"/>
      <c r="Z38" s="758"/>
      <c r="AA38" s="758"/>
      <c r="AB38" s="754">
        <f t="shared" si="5"/>
        <v>0</v>
      </c>
      <c r="AC38" s="755"/>
      <c r="AD38" s="755"/>
      <c r="AE38" s="755"/>
      <c r="AF38" s="756"/>
      <c r="AG38" s="720">
        <f t="shared" si="6"/>
        <v>0</v>
      </c>
      <c r="AH38" s="721"/>
      <c r="AI38" s="721"/>
      <c r="AJ38" s="721"/>
      <c r="AK38" s="721"/>
      <c r="BG38" s="226" t="str">
        <f t="shared" si="7"/>
        <v>○</v>
      </c>
      <c r="BH38" s="227" t="str">
        <f t="shared" si="8"/>
        <v>申請しない場合は入力不要です。</v>
      </c>
    </row>
    <row r="39" spans="2:60" ht="24.75" thickTop="1" x14ac:dyDescent="0.4">
      <c r="B39" s="706" t="s">
        <v>247</v>
      </c>
      <c r="C39" s="707"/>
      <c r="D39" s="707"/>
      <c r="E39" s="707"/>
      <c r="F39" s="707"/>
      <c r="G39" s="707"/>
      <c r="H39" s="707"/>
      <c r="I39" s="707"/>
      <c r="J39" s="707"/>
      <c r="K39" s="707"/>
      <c r="L39" s="707"/>
      <c r="M39" s="707"/>
      <c r="N39" s="707"/>
      <c r="O39" s="707"/>
      <c r="P39" s="708">
        <f>SUM(P35:Q38)</f>
        <v>0</v>
      </c>
      <c r="Q39" s="709"/>
      <c r="R39" s="710"/>
      <c r="S39" s="711"/>
      <c r="T39" s="711"/>
      <c r="U39" s="711"/>
      <c r="V39" s="711"/>
      <c r="W39" s="711"/>
      <c r="X39" s="711"/>
      <c r="Y39" s="711"/>
      <c r="Z39" s="711"/>
      <c r="AA39" s="711"/>
      <c r="AB39" s="711"/>
      <c r="AC39" s="711"/>
      <c r="AD39" s="711"/>
      <c r="AE39" s="711"/>
      <c r="AF39" s="712"/>
      <c r="AG39" s="713">
        <f xml:space="preserve">
IF(COUNTIF(BG35:BG38,"○")=4,0,
IF(COUNTIF(BG35:BG38,"×")&gt;=1,0,
IF(AND(COUNTIF(BG35:BG38,"×")=0,COUNTIF(BG35:BG38,"◎")&gt;=1),SUM(AG35:AK38))))</f>
        <v>0</v>
      </c>
      <c r="AH39" s="711"/>
      <c r="AI39" s="711"/>
      <c r="AJ39" s="711"/>
      <c r="AK39" s="712"/>
      <c r="BG39" s="228" t="str">
        <f xml:space="preserve">
IF(COUNTIF(BG35:BG38,"○")=4,"○",
IF(COUNTIF(BG35:BG38,"×")&gt;=1,"×",
IF(AND(COUNTIF(BG35:BG38,"×")=0,COUNTIF(BG35:BG38,"◎")&gt;=1),"◎")))</f>
        <v>○</v>
      </c>
      <c r="BH39" s="229" t="str">
        <f xml:space="preserve">
IF(COUNTIF(BG35:BG38,"○")=4,"申請しない場合は入力不要です。",
IF(COUNTIF(BG35:BG38,"×")&gt;=1,"【要修正】入力不十分の箇所があるため金額が表示できません。",
IF(AND(COUNTIF(BG35:BG38,"×")=0,COUNTIF(BG35:BG38,"◎")&gt;=1),"適切に入力がされました。")))</f>
        <v>申請しない場合は入力不要です。</v>
      </c>
    </row>
    <row r="40" spans="2:60" x14ac:dyDescent="0.4">
      <c r="B40" s="214"/>
      <c r="C40" s="213"/>
      <c r="D40" s="213"/>
      <c r="E40" s="213"/>
      <c r="F40" s="213"/>
      <c r="G40" s="213"/>
      <c r="H40" s="213"/>
      <c r="I40" s="213"/>
      <c r="J40" s="213"/>
      <c r="K40" s="213"/>
      <c r="L40" s="213"/>
      <c r="M40" s="213"/>
      <c r="N40" s="213"/>
      <c r="O40" s="213"/>
      <c r="P40" s="213"/>
      <c r="Q40" s="213"/>
      <c r="R40" s="213"/>
      <c r="S40" s="213"/>
      <c r="T40" s="213"/>
      <c r="U40" s="377"/>
      <c r="V40" s="378"/>
      <c r="W40" s="377"/>
      <c r="X40" s="378"/>
      <c r="Y40" s="378"/>
      <c r="Z40" s="378"/>
      <c r="AA40" s="378"/>
      <c r="AB40" s="378"/>
      <c r="AC40" s="378"/>
      <c r="AD40" s="378"/>
      <c r="AE40" s="378"/>
      <c r="AF40" s="378"/>
      <c r="AG40" s="215"/>
      <c r="AH40" s="378"/>
      <c r="AI40" s="378"/>
      <c r="AJ40" s="378"/>
      <c r="AK40" s="378"/>
    </row>
    <row r="41" spans="2:60" x14ac:dyDescent="0.4">
      <c r="B41" s="263" t="s">
        <v>220</v>
      </c>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row>
    <row r="42" spans="2:60" x14ac:dyDescent="0.4">
      <c r="B42" s="202" t="s">
        <v>226</v>
      </c>
    </row>
    <row r="43" spans="2:60" x14ac:dyDescent="0.4">
      <c r="B43" s="271" t="s">
        <v>228</v>
      </c>
      <c r="C43" s="742" t="s">
        <v>253</v>
      </c>
      <c r="D43" s="743"/>
      <c r="E43" s="743"/>
      <c r="F43" s="743"/>
      <c r="G43" s="743"/>
      <c r="H43" s="743"/>
      <c r="I43" s="743"/>
      <c r="J43" s="743"/>
      <c r="K43" s="743"/>
      <c r="L43" s="743"/>
      <c r="M43" s="743"/>
      <c r="N43" s="743"/>
      <c r="O43" s="743"/>
      <c r="P43" s="743"/>
      <c r="Q43" s="743"/>
      <c r="R43" s="743"/>
      <c r="S43" s="743"/>
      <c r="T43" s="743"/>
      <c r="U43" s="743"/>
      <c r="V43" s="743"/>
      <c r="W43" s="743"/>
      <c r="X43" s="743"/>
      <c r="Y43" s="743"/>
      <c r="Z43" s="743"/>
      <c r="AA43" s="743"/>
      <c r="AB43" s="743"/>
      <c r="AC43" s="743"/>
      <c r="AD43" s="743"/>
      <c r="AE43" s="743"/>
      <c r="AF43" s="743"/>
      <c r="AG43" s="743"/>
      <c r="AH43" s="743"/>
      <c r="AI43" s="743"/>
      <c r="AJ43" s="743"/>
      <c r="AK43" s="744"/>
    </row>
    <row r="44" spans="2:60" x14ac:dyDescent="0.4">
      <c r="B44" s="272" t="s">
        <v>227</v>
      </c>
      <c r="C44" s="273" t="s">
        <v>252</v>
      </c>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4"/>
    </row>
    <row r="45" spans="2:60" x14ac:dyDescent="0.4">
      <c r="B45" s="202" t="s">
        <v>300</v>
      </c>
    </row>
    <row r="46" spans="2:60" x14ac:dyDescent="0.4">
      <c r="B46" s="745" t="s">
        <v>261</v>
      </c>
      <c r="C46" s="746"/>
      <c r="D46" s="746"/>
      <c r="E46" s="746"/>
      <c r="F46" s="746"/>
      <c r="G46" s="746"/>
      <c r="H46" s="746"/>
      <c r="I46" s="746"/>
      <c r="J46" s="745" t="s">
        <v>246</v>
      </c>
      <c r="K46" s="747"/>
      <c r="L46" s="747"/>
      <c r="M46" s="747"/>
      <c r="N46" s="747"/>
      <c r="O46" s="748"/>
      <c r="P46" s="716" t="s">
        <v>24</v>
      </c>
      <c r="Q46" s="614"/>
      <c r="R46" s="749" t="s">
        <v>75</v>
      </c>
      <c r="S46" s="750"/>
      <c r="T46" s="750"/>
      <c r="U46" s="750"/>
      <c r="V46" s="750"/>
      <c r="W46" s="749" t="s">
        <v>237</v>
      </c>
      <c r="X46" s="750"/>
      <c r="Y46" s="750"/>
      <c r="Z46" s="750"/>
      <c r="AA46" s="750"/>
      <c r="AB46" s="716" t="s">
        <v>249</v>
      </c>
      <c r="AC46" s="614"/>
      <c r="AD46" s="614"/>
      <c r="AE46" s="614"/>
      <c r="AF46" s="614"/>
      <c r="AG46" s="749" t="s">
        <v>238</v>
      </c>
      <c r="AH46" s="750"/>
      <c r="AI46" s="750"/>
      <c r="AJ46" s="750"/>
      <c r="AK46" s="750"/>
      <c r="BG46" s="204" t="s">
        <v>259</v>
      </c>
      <c r="BH46" s="205" t="s">
        <v>260</v>
      </c>
    </row>
    <row r="47" spans="2:60" x14ac:dyDescent="0.4">
      <c r="B47" s="733"/>
      <c r="C47" s="734"/>
      <c r="D47" s="734"/>
      <c r="E47" s="734"/>
      <c r="F47" s="734"/>
      <c r="G47" s="734"/>
      <c r="H47" s="734"/>
      <c r="I47" s="734"/>
      <c r="J47" s="735"/>
      <c r="K47" s="736"/>
      <c r="L47" s="736"/>
      <c r="M47" s="736"/>
      <c r="N47" s="736"/>
      <c r="O47" s="737"/>
      <c r="P47" s="738"/>
      <c r="Q47" s="739"/>
      <c r="R47" s="740"/>
      <c r="S47" s="741"/>
      <c r="T47" s="741"/>
      <c r="U47" s="741"/>
      <c r="V47" s="741"/>
      <c r="W47" s="731">
        <f>ROUNDDOWN(R47*1.1,0)</f>
        <v>0</v>
      </c>
      <c r="X47" s="732"/>
      <c r="Y47" s="732"/>
      <c r="Z47" s="732"/>
      <c r="AA47" s="732"/>
      <c r="AB47" s="714">
        <f>MIN(W47,51400)</f>
        <v>0</v>
      </c>
      <c r="AC47" s="715"/>
      <c r="AD47" s="715"/>
      <c r="AE47" s="715"/>
      <c r="AF47" s="715"/>
      <c r="AG47" s="720">
        <f xml:space="preserve">
IF(COUNTA(B47:V47)=4,P47*AB47,
IF(AND(COUNTA(B47:V47)&gt;=1,COUNTA(B47:V47)&lt;4),0,
IF(COUNTA(B47:V47)=0,0)))</f>
        <v>0</v>
      </c>
      <c r="AH47" s="721"/>
      <c r="AI47" s="721"/>
      <c r="AJ47" s="721"/>
      <c r="AK47" s="721"/>
      <c r="BG47" s="204" t="str">
        <f xml:space="preserve">
IF(COUNTA(B47:V47)=4,"◎",
IF(AND(COUNTA(B47:V47)&gt;=1,COUNTA(B47:V47)&lt;4),"×",
IF(COUNTA(B47:V47)=0,"○")))</f>
        <v>○</v>
      </c>
      <c r="BH47" s="217" t="str">
        <f xml:space="preserve">
IF(COUNTA(B47:V47)=4,"適切に入力がされました。",
IF(AND(COUNTA(B47:V47)&gt;=1,COUNTA(B47:V47)&lt;4),"【要修正】未入力の箇所があります。",
IF(COUNTA(B47:V47)=0,"申請しない場合は入力不要です。")))</f>
        <v>申請しない場合は入力不要です。</v>
      </c>
    </row>
    <row r="48" spans="2:60" x14ac:dyDescent="0.4">
      <c r="B48" s="733"/>
      <c r="C48" s="734"/>
      <c r="D48" s="734"/>
      <c r="E48" s="734"/>
      <c r="F48" s="734"/>
      <c r="G48" s="734"/>
      <c r="H48" s="734"/>
      <c r="I48" s="734"/>
      <c r="J48" s="735"/>
      <c r="K48" s="736"/>
      <c r="L48" s="736"/>
      <c r="M48" s="736"/>
      <c r="N48" s="736"/>
      <c r="O48" s="737"/>
      <c r="P48" s="738"/>
      <c r="Q48" s="739"/>
      <c r="R48" s="740"/>
      <c r="S48" s="741"/>
      <c r="T48" s="741"/>
      <c r="U48" s="741"/>
      <c r="V48" s="741"/>
      <c r="W48" s="731">
        <f t="shared" ref="W48:W50" si="9">ROUNDDOWN(R48*1.1,0)</f>
        <v>0</v>
      </c>
      <c r="X48" s="732"/>
      <c r="Y48" s="732"/>
      <c r="Z48" s="732"/>
      <c r="AA48" s="732"/>
      <c r="AB48" s="714">
        <f t="shared" ref="AB48:AB50" si="10">MIN(W48,51400)</f>
        <v>0</v>
      </c>
      <c r="AC48" s="715"/>
      <c r="AD48" s="715"/>
      <c r="AE48" s="715"/>
      <c r="AF48" s="715"/>
      <c r="AG48" s="720">
        <f t="shared" ref="AG48:AG50" si="11" xml:space="preserve">
IF(COUNTA(B48:V48)=4,P48*AB48,
IF(AND(COUNTA(B48:V48)&gt;=1,COUNTA(B48:V48)&lt;4),0,
IF(COUNTA(B48:V48)=0,0)))</f>
        <v>0</v>
      </c>
      <c r="AH48" s="721"/>
      <c r="AI48" s="721"/>
      <c r="AJ48" s="721"/>
      <c r="AK48" s="721"/>
      <c r="BG48" s="204" t="str">
        <f t="shared" ref="BG48:BG50" si="12" xml:space="preserve">
IF(COUNTA(B48:V48)=4,"◎",
IF(AND(COUNTA(B48:V48)&gt;=1,COUNTA(B48:V48)&lt;4),"×",
IF(COUNTA(B48:V48)=0,"○")))</f>
        <v>○</v>
      </c>
      <c r="BH48" s="217" t="str">
        <f t="shared" ref="BH48:BH50" si="13" xml:space="preserve">
IF(COUNTA(B48:V48)=4,"適切に入力がされました。",
IF(AND(COUNTA(B48:V48)&gt;=1,COUNTA(B48:V48)&lt;4),"【要修正】未入力の箇所があります。",
IF(COUNTA(B48:V48)=0,"申請しない場合は入力不要です。")))</f>
        <v>申請しない場合は入力不要です。</v>
      </c>
    </row>
    <row r="49" spans="2:60" x14ac:dyDescent="0.4">
      <c r="B49" s="733"/>
      <c r="C49" s="734"/>
      <c r="D49" s="734"/>
      <c r="E49" s="734"/>
      <c r="F49" s="734"/>
      <c r="G49" s="734"/>
      <c r="H49" s="734"/>
      <c r="I49" s="734"/>
      <c r="J49" s="735"/>
      <c r="K49" s="736"/>
      <c r="L49" s="736"/>
      <c r="M49" s="736"/>
      <c r="N49" s="736"/>
      <c r="O49" s="737"/>
      <c r="P49" s="738"/>
      <c r="Q49" s="739"/>
      <c r="R49" s="740"/>
      <c r="S49" s="741"/>
      <c r="T49" s="741"/>
      <c r="U49" s="741"/>
      <c r="V49" s="741"/>
      <c r="W49" s="731">
        <f t="shared" si="9"/>
        <v>0</v>
      </c>
      <c r="X49" s="732"/>
      <c r="Y49" s="732"/>
      <c r="Z49" s="732"/>
      <c r="AA49" s="732"/>
      <c r="AB49" s="714">
        <f t="shared" si="10"/>
        <v>0</v>
      </c>
      <c r="AC49" s="715"/>
      <c r="AD49" s="715"/>
      <c r="AE49" s="715"/>
      <c r="AF49" s="715"/>
      <c r="AG49" s="720">
        <f t="shared" si="11"/>
        <v>0</v>
      </c>
      <c r="AH49" s="721"/>
      <c r="AI49" s="721"/>
      <c r="AJ49" s="721"/>
      <c r="AK49" s="721"/>
      <c r="BG49" s="204" t="str">
        <f t="shared" si="12"/>
        <v>○</v>
      </c>
      <c r="BH49" s="217" t="str">
        <f t="shared" si="13"/>
        <v>申請しない場合は入力不要です。</v>
      </c>
    </row>
    <row r="50" spans="2:60" ht="24.75" thickBot="1" x14ac:dyDescent="0.45">
      <c r="B50" s="722"/>
      <c r="C50" s="723"/>
      <c r="D50" s="723"/>
      <c r="E50" s="723"/>
      <c r="F50" s="723"/>
      <c r="G50" s="723"/>
      <c r="H50" s="723"/>
      <c r="I50" s="723"/>
      <c r="J50" s="724"/>
      <c r="K50" s="725"/>
      <c r="L50" s="725"/>
      <c r="M50" s="725"/>
      <c r="N50" s="725"/>
      <c r="O50" s="726"/>
      <c r="P50" s="727"/>
      <c r="Q50" s="728"/>
      <c r="R50" s="729"/>
      <c r="S50" s="730"/>
      <c r="T50" s="730"/>
      <c r="U50" s="730"/>
      <c r="V50" s="730"/>
      <c r="W50" s="731">
        <f t="shared" si="9"/>
        <v>0</v>
      </c>
      <c r="X50" s="732"/>
      <c r="Y50" s="732"/>
      <c r="Z50" s="732"/>
      <c r="AA50" s="732"/>
      <c r="AB50" s="714">
        <f t="shared" si="10"/>
        <v>0</v>
      </c>
      <c r="AC50" s="715"/>
      <c r="AD50" s="715"/>
      <c r="AE50" s="715"/>
      <c r="AF50" s="715"/>
      <c r="AG50" s="720">
        <f t="shared" si="11"/>
        <v>0</v>
      </c>
      <c r="AH50" s="721"/>
      <c r="AI50" s="721"/>
      <c r="AJ50" s="721"/>
      <c r="AK50" s="721"/>
      <c r="BG50" s="226" t="str">
        <f t="shared" si="12"/>
        <v>○</v>
      </c>
      <c r="BH50" s="227" t="str">
        <f t="shared" si="13"/>
        <v>申請しない場合は入力不要です。</v>
      </c>
    </row>
    <row r="51" spans="2:60" ht="24.75" thickTop="1" x14ac:dyDescent="0.4">
      <c r="B51" s="706" t="s">
        <v>247</v>
      </c>
      <c r="C51" s="707"/>
      <c r="D51" s="707"/>
      <c r="E51" s="707"/>
      <c r="F51" s="707"/>
      <c r="G51" s="707"/>
      <c r="H51" s="707"/>
      <c r="I51" s="707"/>
      <c r="J51" s="707"/>
      <c r="K51" s="707"/>
      <c r="L51" s="707"/>
      <c r="M51" s="707"/>
      <c r="N51" s="707"/>
      <c r="O51" s="707"/>
      <c r="P51" s="708">
        <f>SUM(P47:Q50)</f>
        <v>0</v>
      </c>
      <c r="Q51" s="709"/>
      <c r="R51" s="710"/>
      <c r="S51" s="711"/>
      <c r="T51" s="711"/>
      <c r="U51" s="711"/>
      <c r="V51" s="711"/>
      <c r="W51" s="711"/>
      <c r="X51" s="711"/>
      <c r="Y51" s="711"/>
      <c r="Z51" s="711"/>
      <c r="AA51" s="711"/>
      <c r="AB51" s="711"/>
      <c r="AC51" s="711"/>
      <c r="AD51" s="711"/>
      <c r="AE51" s="711"/>
      <c r="AF51" s="712"/>
      <c r="AG51" s="713">
        <f xml:space="preserve">
IF(COUNTIF(BG47:BG50,"○")=4,0,
IF(COUNTIF(BG47:BG50,"×")&gt;=1,0,
IF(AND(COUNTIF(BG47:BG50,"×")=0,COUNTIF(BG47:BG50,"◎")&gt;=1),SUM(AG47:AK50))))</f>
        <v>0</v>
      </c>
      <c r="AH51" s="711"/>
      <c r="AI51" s="711"/>
      <c r="AJ51" s="711"/>
      <c r="AK51" s="712"/>
      <c r="BG51" s="228" t="str">
        <f xml:space="preserve">
IF(COUNTIF(BG47:BG50,"○")=4,"○",
IF(COUNTIF(BG47:BG50,"×")&gt;=1,"×",
IF(AND(COUNTIF(BG47:BG50,"×")=0,COUNTIF(BG47:BG50,"◎")&gt;=1),"◎")))</f>
        <v>○</v>
      </c>
      <c r="BH51" s="229" t="str">
        <f xml:space="preserve">
IF(COUNTIF(BG47:BG50,"○")=4,"申請しない場合は入力不要です。",
IF(COUNTIF(BG47:BG50,"×")&gt;=1,"【要修正】入力不十分の箇所があるため金額が表示できません。",
IF(AND(COUNTIF(BG47:BG50,"×")=0,COUNTIF(BG47:BG50,"◎")&gt;=1),"適切に入力がされました。")))</f>
        <v>申請しない場合は入力不要です。</v>
      </c>
    </row>
    <row r="53" spans="2:60" x14ac:dyDescent="0.4">
      <c r="BG53" s="202" t="s">
        <v>223</v>
      </c>
    </row>
    <row r="54" spans="2:60" x14ac:dyDescent="0.4">
      <c r="BG54" s="202" t="s">
        <v>224</v>
      </c>
    </row>
    <row r="55" spans="2:60" x14ac:dyDescent="0.4">
      <c r="BG55" s="202" t="s">
        <v>258</v>
      </c>
    </row>
    <row r="56" spans="2:60" x14ac:dyDescent="0.4">
      <c r="BG56" s="202" t="s">
        <v>225</v>
      </c>
    </row>
    <row r="57" spans="2:60" x14ac:dyDescent="0.4">
      <c r="BG57" s="202" t="s">
        <v>235</v>
      </c>
    </row>
    <row r="58" spans="2:60" x14ac:dyDescent="0.4">
      <c r="BG58" s="202" t="s">
        <v>236</v>
      </c>
    </row>
    <row r="59" spans="2:60" x14ac:dyDescent="0.4">
      <c r="BG59" s="202" t="s">
        <v>250</v>
      </c>
    </row>
    <row r="60" spans="2:60" x14ac:dyDescent="0.4">
      <c r="BG60" s="202" t="s">
        <v>251</v>
      </c>
    </row>
  </sheetData>
  <sheetProtection algorithmName="SHA-512" hashValue="BzEJMCFMrA9dAM7Owexzw6WA5YTzzWeYlW5D6ZKg7i8wv8bPpsWFy4Iiph2MrMnLfQ5ZwT1M0+2pp93Qb5vbOg==" saltValue="WSJ+nPCX+fjmxdC9gmo6oA==" spinCount="100000" sheet="1" objects="1" scenarios="1"/>
  <mergeCells count="151">
    <mergeCell ref="B5:AK5"/>
    <mergeCell ref="B24:AF24"/>
    <mergeCell ref="B2:S3"/>
    <mergeCell ref="AG22:AK22"/>
    <mergeCell ref="AG23:AK23"/>
    <mergeCell ref="AG26:AK26"/>
    <mergeCell ref="AG24:AK24"/>
    <mergeCell ref="AG25:AK25"/>
    <mergeCell ref="W22:AF22"/>
    <mergeCell ref="W23:AF23"/>
    <mergeCell ref="W25:AF25"/>
    <mergeCell ref="W26:AF26"/>
    <mergeCell ref="B20:I20"/>
    <mergeCell ref="J20:T20"/>
    <mergeCell ref="U20:V20"/>
    <mergeCell ref="W20:AA20"/>
    <mergeCell ref="AB20:AF20"/>
    <mergeCell ref="AG20:AK20"/>
    <mergeCell ref="B21:I21"/>
    <mergeCell ref="J21:T21"/>
    <mergeCell ref="U21:V21"/>
    <mergeCell ref="W21:AA21"/>
    <mergeCell ref="AB21:AF21"/>
    <mergeCell ref="C8:AK8"/>
    <mergeCell ref="C9:AK9"/>
    <mergeCell ref="C30:AK30"/>
    <mergeCell ref="C31:AK31"/>
    <mergeCell ref="B22:V22"/>
    <mergeCell ref="B23:V23"/>
    <mergeCell ref="B25:V25"/>
    <mergeCell ref="B26:V26"/>
    <mergeCell ref="AG21:AK21"/>
    <mergeCell ref="J16:T16"/>
    <mergeCell ref="J17:T17"/>
    <mergeCell ref="B16:I16"/>
    <mergeCell ref="B17:I17"/>
    <mergeCell ref="U16:V16"/>
    <mergeCell ref="U17:V17"/>
    <mergeCell ref="W16:AA16"/>
    <mergeCell ref="W17:AA17"/>
    <mergeCell ref="AB16:AF16"/>
    <mergeCell ref="AB17:AF17"/>
    <mergeCell ref="B13:I13"/>
    <mergeCell ref="B14:I14"/>
    <mergeCell ref="J13:AK13"/>
    <mergeCell ref="J14:AK14"/>
    <mergeCell ref="AG19:AK19"/>
    <mergeCell ref="B18:I18"/>
    <mergeCell ref="J18:T18"/>
    <mergeCell ref="U18:V18"/>
    <mergeCell ref="W18:AA18"/>
    <mergeCell ref="AB18:AF18"/>
    <mergeCell ref="AG18:AK18"/>
    <mergeCell ref="B19:I19"/>
    <mergeCell ref="J19:T19"/>
    <mergeCell ref="U19:V19"/>
    <mergeCell ref="W19:AA19"/>
    <mergeCell ref="AB19:AF19"/>
    <mergeCell ref="AG16:AK16"/>
    <mergeCell ref="AG17:AK17"/>
    <mergeCell ref="B34:I34"/>
    <mergeCell ref="B35:I35"/>
    <mergeCell ref="B36:I36"/>
    <mergeCell ref="B37:I37"/>
    <mergeCell ref="B38:I38"/>
    <mergeCell ref="P34:Q34"/>
    <mergeCell ref="R34:V34"/>
    <mergeCell ref="P35:Q35"/>
    <mergeCell ref="R35:V35"/>
    <mergeCell ref="P36:Q36"/>
    <mergeCell ref="R36:V36"/>
    <mergeCell ref="P37:Q37"/>
    <mergeCell ref="R37:V37"/>
    <mergeCell ref="P38:Q38"/>
    <mergeCell ref="R38:V38"/>
    <mergeCell ref="J34:O34"/>
    <mergeCell ref="J35:O35"/>
    <mergeCell ref="J36:O36"/>
    <mergeCell ref="J37:O37"/>
    <mergeCell ref="J38:O38"/>
    <mergeCell ref="AB34:AF34"/>
    <mergeCell ref="AB35:AF35"/>
    <mergeCell ref="AB36:AF36"/>
    <mergeCell ref="AB37:AF37"/>
    <mergeCell ref="AB38:AF38"/>
    <mergeCell ref="W34:AA34"/>
    <mergeCell ref="AG34:AK34"/>
    <mergeCell ref="W35:AA35"/>
    <mergeCell ref="AG35:AK35"/>
    <mergeCell ref="W36:AA36"/>
    <mergeCell ref="AG36:AK36"/>
    <mergeCell ref="W37:AA37"/>
    <mergeCell ref="AG37:AK37"/>
    <mergeCell ref="W38:AA38"/>
    <mergeCell ref="AG38:AK38"/>
    <mergeCell ref="P39:Q39"/>
    <mergeCell ref="R39:AF39"/>
    <mergeCell ref="B39:O39"/>
    <mergeCell ref="C43:AK43"/>
    <mergeCell ref="B46:I46"/>
    <mergeCell ref="J46:O46"/>
    <mergeCell ref="P46:Q46"/>
    <mergeCell ref="R46:V46"/>
    <mergeCell ref="W46:AA46"/>
    <mergeCell ref="AB46:AF46"/>
    <mergeCell ref="AG46:AK46"/>
    <mergeCell ref="AG39:AK39"/>
    <mergeCell ref="AG50:AK50"/>
    <mergeCell ref="B49:I49"/>
    <mergeCell ref="J49:O49"/>
    <mergeCell ref="P49:Q49"/>
    <mergeCell ref="R49:V49"/>
    <mergeCell ref="W49:AA49"/>
    <mergeCell ref="AB47:AF47"/>
    <mergeCell ref="AG47:AK47"/>
    <mergeCell ref="B48:I48"/>
    <mergeCell ref="J48:O48"/>
    <mergeCell ref="P48:Q48"/>
    <mergeCell ref="R48:V48"/>
    <mergeCell ref="W48:AA48"/>
    <mergeCell ref="AB48:AF48"/>
    <mergeCell ref="AG48:AK48"/>
    <mergeCell ref="B47:I47"/>
    <mergeCell ref="J47:O47"/>
    <mergeCell ref="P47:Q47"/>
    <mergeCell ref="R47:V47"/>
    <mergeCell ref="W47:AA47"/>
    <mergeCell ref="AE1:AK1"/>
    <mergeCell ref="BF3:BF5"/>
    <mergeCell ref="BF24:BI25"/>
    <mergeCell ref="B51:O51"/>
    <mergeCell ref="P51:Q51"/>
    <mergeCell ref="R51:AF51"/>
    <mergeCell ref="AG51:AK51"/>
    <mergeCell ref="AG2:AK2"/>
    <mergeCell ref="AG3:AK3"/>
    <mergeCell ref="AG4:AK4"/>
    <mergeCell ref="AE2:AF2"/>
    <mergeCell ref="AE3:AF3"/>
    <mergeCell ref="AE4:AF4"/>
    <mergeCell ref="W2:AD2"/>
    <mergeCell ref="W3:AD3"/>
    <mergeCell ref="W4:AD4"/>
    <mergeCell ref="AB49:AF49"/>
    <mergeCell ref="AG49:AK49"/>
    <mergeCell ref="B50:I50"/>
    <mergeCell ref="J50:O50"/>
    <mergeCell ref="P50:Q50"/>
    <mergeCell ref="R50:V50"/>
    <mergeCell ref="W50:AA50"/>
    <mergeCell ref="AB50:AF50"/>
  </mergeCells>
  <phoneticPr fontId="1"/>
  <conditionalFormatting sqref="BG17:BG22 BG13:BG14 BG3:BG5 BG35:BG39 BG47:BG51">
    <cfRule type="containsText" dxfId="23" priority="3" operator="containsText" text="×">
      <formula>NOT(ISERROR(SEARCH("×",BG3)))</formula>
    </cfRule>
  </conditionalFormatting>
  <conditionalFormatting sqref="BH47:BH51 BH35:BH39 BH17:BH22 BH13:BH14 BH3:BH5">
    <cfRule type="containsText" dxfId="22" priority="2" operator="containsText" text="要修正">
      <formula>NOT(ISERROR(SEARCH("要修正",BH3)))</formula>
    </cfRule>
  </conditionalFormatting>
  <conditionalFormatting sqref="BF3:BF5">
    <cfRule type="containsText" dxfId="21" priority="1" operator="containsText" text="×">
      <formula>NOT(ISERROR(SEARCH("×",BF3)))</formula>
    </cfRule>
  </conditionalFormatting>
  <dataValidations xWindow="621" yWindow="810" count="5">
    <dataValidation type="list" allowBlank="1" showInputMessage="1" showErrorMessage="1" sqref="J13 J45 J33" xr:uid="{00000000-0002-0000-0700-000000000000}">
      <formula1>$BG$53:$BG$54</formula1>
    </dataValidation>
    <dataValidation type="list" allowBlank="1" showInputMessage="1" showErrorMessage="1" sqref="J35:O38 J47:O50" xr:uid="{00000000-0002-0000-0700-000001000000}">
      <formula1>$BG$59:$BG$60</formula1>
    </dataValidation>
    <dataValidation type="list" allowBlank="1" showInputMessage="1" showErrorMessage="1" sqref="B17:B21" xr:uid="{00000000-0002-0000-0700-000002000000}">
      <formula1>$BG$57:$BG$58</formula1>
    </dataValidation>
    <dataValidation type="list" allowBlank="1" showInputMessage="1" showErrorMessage="1" sqref="J14:AK14" xr:uid="{00000000-0002-0000-0700-000003000000}">
      <formula1>$BG$55:$BG$56</formula1>
    </dataValidation>
    <dataValidation allowBlank="1" showInputMessage="1" showErrorMessage="1" promptTitle="品名の入力" prompt="購入予定である個人防護具の品名を入力してください。（型番のみの入力の場合、購入内容が不明のため修正を依頼させていただきますのでご注意ください。）" sqref="B47:I50 B35:I38 J17:T21" xr:uid="{00000000-0002-0000-0700-000004000000}"/>
  </dataValidations>
  <pageMargins left="0.7" right="0.7" top="0.75" bottom="0.75" header="0.3" footer="0.3"/>
  <pageSetup paperSize="9" scale="60" orientation="portrait" r:id="rId1"/>
  <colBreaks count="1" manualBreakCount="1">
    <brk id="37" max="1048575" man="1"/>
  </col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T128"/>
  <sheetViews>
    <sheetView showGridLines="0" view="pageBreakPreview" topLeftCell="A4" zoomScaleNormal="100" zoomScaleSheetLayoutView="100" workbookViewId="0">
      <selection activeCell="B13" sqref="B13:H45"/>
    </sheetView>
  </sheetViews>
  <sheetFormatPr defaultColWidth="9" defaultRowHeight="20.100000000000001" customHeight="1" x14ac:dyDescent="0.4"/>
  <cols>
    <col min="1" max="1" width="3.625" style="281" customWidth="1"/>
    <col min="2" max="2" width="15.625" style="283" customWidth="1"/>
    <col min="3" max="4" width="10.625" style="283" customWidth="1"/>
    <col min="5" max="5" width="10.625" style="284" customWidth="1"/>
    <col min="6" max="6" width="7.125" style="285" customWidth="1"/>
    <col min="7" max="7" width="7.125" style="105" customWidth="1"/>
    <col min="8" max="8" width="11.625" style="105" customWidth="1"/>
    <col min="9" max="10" width="12.625" style="105" customWidth="1"/>
    <col min="11" max="11" width="9" style="105"/>
    <col min="12" max="12" width="15.625" style="105" customWidth="1"/>
    <col min="13" max="13" width="2.625" style="105" customWidth="1"/>
    <col min="14" max="15" width="30.625" style="1" customWidth="1"/>
    <col min="16" max="16" width="40.625" style="1" customWidth="1"/>
    <col min="17" max="18" width="30.625" style="1" hidden="1" customWidth="1"/>
    <col min="19" max="22" width="12.625" style="1" hidden="1" customWidth="1"/>
    <col min="23" max="28" width="9" style="1"/>
    <col min="29" max="29" width="3.625" style="286" customWidth="1"/>
    <col min="30" max="30" width="9" style="277"/>
    <col min="31" max="31" width="9" style="1"/>
    <col min="32" max="32" width="90.625" style="1" customWidth="1"/>
    <col min="33" max="37" width="9" style="1"/>
    <col min="38" max="38" width="30.625" style="1" customWidth="1"/>
    <col min="39" max="40" width="9" style="1"/>
    <col min="41" max="41" width="60.625" style="1" customWidth="1"/>
    <col min="42" max="42" width="9" style="1"/>
    <col min="43" max="43" width="18.625" style="1" customWidth="1"/>
    <col min="44" max="45" width="10.625" style="1" customWidth="1"/>
    <col min="46" max="16384" width="9" style="1"/>
  </cols>
  <sheetData>
    <row r="1" spans="1:46" ht="15" customHeight="1" x14ac:dyDescent="0.4">
      <c r="K1" s="798" t="str">
        <f>"《２次募集》"&amp;はじめに入力してください!AG18</f>
        <v>《２次募集》</v>
      </c>
      <c r="L1" s="798"/>
      <c r="M1" s="799"/>
    </row>
    <row r="2" spans="1:46" ht="20.100000000000001" customHeight="1" x14ac:dyDescent="0.4">
      <c r="B2" s="14" t="s">
        <v>56</v>
      </c>
      <c r="C2" s="287"/>
      <c r="D2" s="287"/>
      <c r="H2" s="280" t="s">
        <v>26</v>
      </c>
      <c r="I2" s="788">
        <f xml:space="preserve">
IF(AN118="○",0,
IF(AN118="◎",SUM(J13:J112),
IF(AN118="×",0)))</f>
        <v>0</v>
      </c>
      <c r="J2" s="789"/>
      <c r="K2" s="288"/>
      <c r="L2" s="288"/>
    </row>
    <row r="3" spans="1:46" ht="9.9499999999999993" customHeight="1" x14ac:dyDescent="0.4">
      <c r="B3" s="287"/>
      <c r="C3" s="287"/>
      <c r="D3" s="287"/>
      <c r="G3" s="108"/>
      <c r="K3" s="288"/>
      <c r="L3" s="288"/>
    </row>
    <row r="4" spans="1:46" ht="24.95" customHeight="1" x14ac:dyDescent="0.4">
      <c r="A4" s="323" t="s">
        <v>283</v>
      </c>
      <c r="B4" s="289"/>
      <c r="C4" s="289"/>
      <c r="D4" s="289"/>
      <c r="E4" s="290"/>
      <c r="F4" s="291"/>
      <c r="G4" s="292"/>
      <c r="H4" s="293"/>
      <c r="I4" s="294"/>
      <c r="J4" s="294"/>
      <c r="K4" s="294"/>
      <c r="L4" s="294"/>
      <c r="M4" s="295"/>
    </row>
    <row r="5" spans="1:46" ht="60" customHeight="1" x14ac:dyDescent="0.4">
      <c r="A5" s="793" t="s">
        <v>284</v>
      </c>
      <c r="B5" s="794"/>
      <c r="C5" s="794"/>
      <c r="D5" s="794"/>
      <c r="E5" s="794"/>
      <c r="F5" s="794"/>
      <c r="G5" s="794"/>
      <c r="H5" s="794"/>
      <c r="I5" s="794"/>
      <c r="J5" s="794"/>
      <c r="K5" s="794"/>
      <c r="L5" s="794"/>
    </row>
    <row r="6" spans="1:46" ht="20.100000000000001" customHeight="1" x14ac:dyDescent="0.4">
      <c r="A6" s="280">
        <v>1</v>
      </c>
      <c r="B6" s="296" t="s">
        <v>69</v>
      </c>
      <c r="C6" s="365"/>
      <c r="D6" s="279"/>
      <c r="E6" s="800" t="s">
        <v>264</v>
      </c>
      <c r="F6" s="801"/>
      <c r="G6" s="801"/>
      <c r="H6" s="278"/>
      <c r="I6" s="278"/>
      <c r="J6" s="278"/>
      <c r="K6" s="278"/>
      <c r="L6" s="278"/>
      <c r="AG6" s="257"/>
      <c r="AH6" s="257"/>
      <c r="AI6" s="257"/>
      <c r="AJ6" s="257"/>
    </row>
    <row r="7" spans="1:46" ht="20.100000000000001" customHeight="1" x14ac:dyDescent="0.4">
      <c r="A7" s="280">
        <v>2</v>
      </c>
      <c r="B7" s="296" t="s">
        <v>70</v>
      </c>
      <c r="C7" s="366"/>
      <c r="D7" s="279"/>
      <c r="E7" s="112" t="s">
        <v>265</v>
      </c>
      <c r="F7" s="802"/>
      <c r="G7" s="803"/>
      <c r="H7" s="790" t="s">
        <v>302</v>
      </c>
      <c r="I7" s="791"/>
      <c r="J7" s="607"/>
      <c r="K7" s="278"/>
      <c r="L7" s="278"/>
      <c r="AG7" s="297"/>
      <c r="AH7" s="298"/>
      <c r="AI7" s="298"/>
      <c r="AJ7" s="298"/>
    </row>
    <row r="8" spans="1:46" ht="20.100000000000001" customHeight="1" x14ac:dyDescent="0.4">
      <c r="A8" s="280">
        <v>3</v>
      </c>
      <c r="B8" s="299" t="s">
        <v>71</v>
      </c>
      <c r="C8" s="300">
        <f>C6*C7</f>
        <v>0</v>
      </c>
      <c r="D8" s="301"/>
      <c r="E8" s="112" t="s">
        <v>266</v>
      </c>
      <c r="F8" s="804">
        <f>ROUNDUP(F7/1.1,2)</f>
        <v>0</v>
      </c>
      <c r="G8" s="805"/>
      <c r="H8" s="792"/>
      <c r="I8" s="791"/>
      <c r="J8" s="607"/>
      <c r="K8" s="1"/>
      <c r="L8" s="1"/>
      <c r="S8" s="279"/>
      <c r="T8" s="279"/>
      <c r="U8" s="279"/>
      <c r="V8" s="279"/>
      <c r="AG8" s="298"/>
      <c r="AH8" s="298"/>
      <c r="AI8" s="298"/>
      <c r="AJ8" s="298"/>
    </row>
    <row r="9" spans="1:46" ht="15" customHeight="1" x14ac:dyDescent="0.4">
      <c r="A9" s="302"/>
      <c r="B9" s="303"/>
      <c r="C9" s="304"/>
      <c r="D9" s="301"/>
      <c r="E9" s="328" t="s">
        <v>267</v>
      </c>
      <c r="F9" s="305"/>
      <c r="G9" s="306"/>
      <c r="H9" s="1"/>
      <c r="I9" s="1"/>
      <c r="J9" s="1"/>
      <c r="K9" s="1"/>
      <c r="L9" s="1"/>
      <c r="S9" s="279"/>
      <c r="T9" s="279"/>
      <c r="U9" s="279"/>
      <c r="V9" s="279"/>
      <c r="AG9" s="298"/>
      <c r="AH9" s="298"/>
      <c r="AI9" s="298"/>
      <c r="AJ9" s="298"/>
    </row>
    <row r="10" spans="1:46" ht="24.95" customHeight="1" x14ac:dyDescent="0.4">
      <c r="A10" s="815" t="s">
        <v>119</v>
      </c>
      <c r="B10" s="816"/>
      <c r="C10" s="307"/>
      <c r="D10" s="307"/>
      <c r="E10" s="290"/>
      <c r="F10" s="291"/>
      <c r="G10" s="295"/>
      <c r="H10" s="308"/>
      <c r="I10" s="308"/>
      <c r="J10" s="308"/>
      <c r="K10" s="308"/>
      <c r="L10" s="308"/>
      <c r="M10" s="295"/>
      <c r="S10" s="279"/>
      <c r="T10" s="279"/>
      <c r="U10" s="279"/>
      <c r="V10" s="279"/>
      <c r="AG10" s="257"/>
      <c r="AH10" s="257"/>
      <c r="AI10" s="257"/>
      <c r="AJ10" s="257"/>
      <c r="AP10" s="279"/>
      <c r="AQ10" s="278"/>
      <c r="AR10" s="278"/>
      <c r="AS10" s="278"/>
      <c r="AT10" s="278"/>
    </row>
    <row r="11" spans="1:46" ht="80.099999999999994" customHeight="1" x14ac:dyDescent="0.4">
      <c r="A11" s="817" t="str">
        <f xml:space="preserve">
IF(OR(テーブル!B3="交付申請",テーブル!B3="交付申請（２次以降）"),
"【注意１】！！発注書、見積書、カタログ等の提出は不要です。！！"&amp;CHAR(10)&amp;"【注意２】記載にあたってはお手元の発注書、見積書、カタログ等に記載の金額と一致するようにしてください。"&amp;CHAR(10)&amp;"【注意３】購入数量が人員配置に対し過剰と見受けられる場合は、県から確認の連絡をさせていただく場合があります。",
IF(OR(テーブル!B3="変更申請"),
"【注意１】！！発注書、見積書、カタログ等の提出は不要です。！！"&amp;CHAR(10)&amp;"【注意２】記載にあたってはお手元の発注書、見積書、カタログ等に記載の金額と一致するようにしてください。"&amp;CHAR(10)&amp;"【注意３】変更前の記載を入力した上で、印刷したものに数量等変更の箇所及び追記した部分をマーカーで着色してください。"&amp;CHAR(10)&amp;"【注意３】購入数量が人員配置に対し過剰と見受けられる場合は、県から確認の連絡をさせていただく場合があります。",
IF(OR(テーブル!B3="実績報告"),
"【注意１】！！購入の具体的内容及び経費発生の事実がわかる書類（納品書、領収書等）の提出が必要です。！！"&amp;CHAR(10)&amp;"【注意２】記載にあたっては納品書、領収書等に記載の金額と一致するようにしてください。"&amp;CHAR(10)&amp;"【注意３】各行の右に表示の「添付資料番号」は資料中、該当の記述箇所に番号を付記してください。"&amp;CHAR(10)&amp;"【注意３】購入数量が人員配置に対し過剰と見受けられる場合は、県から確認の連絡をさせていただく場合があります。")))</f>
        <v>【注意１】！！購入の具体的内容及び経費発生の事実がわかる書類（納品書、領収書等）の提出が必要です。！！
【注意２】記載にあたっては納品書、領収書等に記載の金額と一致するようにしてください。
【注意３】各行の右に表示の「添付資料番号」は資料中、該当の記述箇所に番号を付記してください。
【注意３】購入数量が人員配置に対し過剰と見受けられる場合は、県から確認の連絡をさせていただく場合があります。</v>
      </c>
      <c r="B11" s="794"/>
      <c r="C11" s="794"/>
      <c r="D11" s="794"/>
      <c r="E11" s="794"/>
      <c r="F11" s="794"/>
      <c r="G11" s="794"/>
      <c r="H11" s="794"/>
      <c r="I11" s="794"/>
      <c r="J11" s="794"/>
      <c r="K11" s="794"/>
      <c r="L11" s="282"/>
      <c r="S11" s="279"/>
      <c r="T11" s="279"/>
      <c r="U11" s="279"/>
      <c r="V11" s="279"/>
      <c r="AG11" s="257"/>
      <c r="AH11" s="257"/>
      <c r="AI11" s="257"/>
      <c r="AJ11" s="257"/>
      <c r="AP11" s="279"/>
      <c r="AQ11" s="278"/>
      <c r="AR11" s="278"/>
      <c r="AS11" s="278"/>
      <c r="AT11" s="278"/>
    </row>
    <row r="12" spans="1:46" ht="18.75" x14ac:dyDescent="0.4">
      <c r="B12" s="309" t="s">
        <v>57</v>
      </c>
      <c r="C12" s="812" t="s">
        <v>301</v>
      </c>
      <c r="D12" s="813"/>
      <c r="E12" s="814"/>
      <c r="F12" s="309" t="s">
        <v>262</v>
      </c>
      <c r="G12" s="309" t="s">
        <v>24</v>
      </c>
      <c r="H12" s="309" t="s">
        <v>75</v>
      </c>
      <c r="I12" s="309" t="s">
        <v>76</v>
      </c>
      <c r="J12" s="309" t="s">
        <v>77</v>
      </c>
      <c r="K12" s="309" t="s">
        <v>25</v>
      </c>
      <c r="L12" s="309" t="s">
        <v>297</v>
      </c>
      <c r="AD12" s="310" t="s">
        <v>165</v>
      </c>
      <c r="AE12" s="311" t="s">
        <v>74</v>
      </c>
      <c r="AF12" s="310" t="s">
        <v>78</v>
      </c>
      <c r="AG12" s="312"/>
      <c r="AH12" s="313" t="s">
        <v>263</v>
      </c>
      <c r="AI12" s="257"/>
      <c r="AJ12" s="257"/>
      <c r="AP12" s="279"/>
      <c r="AQ12" s="278"/>
      <c r="AR12" s="278"/>
      <c r="AS12" s="278"/>
      <c r="AT12" s="278"/>
    </row>
    <row r="13" spans="1:46" ht="20.100000000000001" customHeight="1" x14ac:dyDescent="0.4">
      <c r="A13" s="281">
        <v>1</v>
      </c>
      <c r="B13" s="361"/>
      <c r="C13" s="795"/>
      <c r="D13" s="796"/>
      <c r="E13" s="797"/>
      <c r="F13" s="362"/>
      <c r="G13" s="363"/>
      <c r="H13" s="364"/>
      <c r="I13" s="314">
        <f>ROUNDDOWN(H13*1.1,0)</f>
        <v>0</v>
      </c>
      <c r="J13" s="315">
        <f>ROUNDDOWN(G13*I13,0)</f>
        <v>0</v>
      </c>
      <c r="K13" s="316" t="str">
        <f xml:space="preserve">
IF(AND(AE13="◎",OR(テーブル!$B$3="交付申請",テーブル!$B$3="交付申請（２次以降）",テーブル!$B$3="変更申請")),"－",
IF(AND(AE13&lt;&gt;"◎",OR(テーブル!$B$3="交付申請",テーブル!$B$3="交付申請（２次以降）",テーブル!$B$3="変更申請")),"",
IF(AND(テーブル!$B$3="実績報告",AE13="◎"),COUNTIF($AE$13:AE13,"◎"),"")))</f>
        <v/>
      </c>
      <c r="L13" s="316"/>
      <c r="AC13" s="286" t="s">
        <v>73</v>
      </c>
      <c r="AD13" s="317">
        <v>1</v>
      </c>
      <c r="AE13" s="313" t="str">
        <f xml:space="preserve">
IF(COUNTA(B13:H13)=0,"○",
IF(AND(COUNTA(B13:H13)&gt;=1,COUNTA(B13:H13)&lt;5),"×",
IF(COUNTA(B13:H13)=5,"◎")))</f>
        <v>○</v>
      </c>
      <c r="AF13" s="318" t="str">
        <f xml:space="preserve">
IF(COUNTA(B13:H13)=0,"申請しない場合は入力不要です。",
IF(AND(COUNTA(B13:H13)&gt;=1,COUNTA(B13:H13)&lt;5),"【要修正】種類、品名、内容量、数量、税抜単価の内、未入力の箇所があります。",
IF(COUNTA(B13:H13)=5,"適切に入力がされました。")))</f>
        <v>申請しない場合は入力不要です。</v>
      </c>
      <c r="AH13" s="318">
        <f>F13*G13</f>
        <v>0</v>
      </c>
    </row>
    <row r="14" spans="1:46" ht="20.100000000000001" customHeight="1" x14ac:dyDescent="0.4">
      <c r="A14" s="281">
        <v>2</v>
      </c>
      <c r="B14" s="361"/>
      <c r="C14" s="795"/>
      <c r="D14" s="796"/>
      <c r="E14" s="797"/>
      <c r="F14" s="362"/>
      <c r="G14" s="363"/>
      <c r="H14" s="364"/>
      <c r="I14" s="314">
        <f t="shared" ref="I14:I77" si="0">ROUNDDOWN(H14*1.1,0)</f>
        <v>0</v>
      </c>
      <c r="J14" s="315">
        <f t="shared" ref="J14:J77" si="1">ROUNDDOWN(G14*I14,0)</f>
        <v>0</v>
      </c>
      <c r="K14" s="316" t="str">
        <f xml:space="preserve">
IF(AND(AE14="◎",OR(テーブル!$B$3="交付申請",テーブル!$B$3="交付申請（２次以降）",テーブル!$B$3="変更申請")),"－",
IF(AND(AE14&lt;&gt;"◎",OR(テーブル!$B$3="交付申請",テーブル!$B$3="交付申請（２次以降）",テーブル!$B$3="変更申請")),"",
IF(AND(テーブル!$B$3="実績報告",AE14="◎"),COUNTIF($AE$13:AE14,"◎"),"")))</f>
        <v/>
      </c>
      <c r="L14" s="316"/>
      <c r="AC14" s="286" t="s">
        <v>73</v>
      </c>
      <c r="AD14" s="317">
        <v>2</v>
      </c>
      <c r="AE14" s="313" t="str">
        <f t="shared" ref="AE14:AE77" si="2" xml:space="preserve">
IF(COUNTA(B14:H14)=0,"○",
IF(AND(COUNTA(B14:H14)&gt;=1,COUNTA(B14:H14)&lt;5),"×",
IF(COUNTA(B14:H14)=5,"◎")))</f>
        <v>○</v>
      </c>
      <c r="AF14" s="318" t="str">
        <f t="shared" ref="AF14:AF77" si="3" xml:space="preserve">
IF(COUNTA(B14:H14)=0,"申請しない場合は入力不要です。",
IF(AND(COUNTA(B14:H14)&gt;=1,COUNTA(B14:H14)&lt;5),"【要修正】種類、品名、内容量、数量、税抜単価の内、未入力の箇所があります。",
IF(COUNTA(B14:H14)=5,"適切に入力がされました。")))</f>
        <v>申請しない場合は入力不要です。</v>
      </c>
      <c r="AH14" s="318">
        <f t="shared" ref="AH14:AH77" si="4">F14*G14</f>
        <v>0</v>
      </c>
    </row>
    <row r="15" spans="1:46" ht="20.100000000000001" customHeight="1" x14ac:dyDescent="0.4">
      <c r="A15" s="281">
        <v>3</v>
      </c>
      <c r="B15" s="361"/>
      <c r="C15" s="795"/>
      <c r="D15" s="796"/>
      <c r="E15" s="797"/>
      <c r="F15" s="362"/>
      <c r="G15" s="363"/>
      <c r="H15" s="364"/>
      <c r="I15" s="314">
        <f t="shared" si="0"/>
        <v>0</v>
      </c>
      <c r="J15" s="315">
        <f t="shared" si="1"/>
        <v>0</v>
      </c>
      <c r="K15" s="316" t="str">
        <f xml:space="preserve">
IF(AND(AE15="◎",OR(テーブル!$B$3="交付申請",テーブル!$B$3="交付申請（２次以降）",テーブル!$B$3="変更申請")),"－",
IF(AND(AE15&lt;&gt;"◎",OR(テーブル!$B$3="交付申請",テーブル!$B$3="交付申請（２次以降）",テーブル!$B$3="変更申請")),"",
IF(AND(テーブル!$B$3="実績報告",AE15="◎"),COUNTIF($AE$13:AE15,"◎"),"")))</f>
        <v/>
      </c>
      <c r="L15" s="316"/>
      <c r="AC15" s="286" t="s">
        <v>73</v>
      </c>
      <c r="AD15" s="317">
        <v>3</v>
      </c>
      <c r="AE15" s="313" t="str">
        <f t="shared" si="2"/>
        <v>○</v>
      </c>
      <c r="AF15" s="318" t="str">
        <f t="shared" si="3"/>
        <v>申請しない場合は入力不要です。</v>
      </c>
      <c r="AH15" s="318">
        <f t="shared" si="4"/>
        <v>0</v>
      </c>
    </row>
    <row r="16" spans="1:46" ht="20.100000000000001" customHeight="1" x14ac:dyDescent="0.4">
      <c r="A16" s="281">
        <v>4</v>
      </c>
      <c r="B16" s="361"/>
      <c r="C16" s="795"/>
      <c r="D16" s="796"/>
      <c r="E16" s="797"/>
      <c r="F16" s="362"/>
      <c r="G16" s="363"/>
      <c r="H16" s="364"/>
      <c r="I16" s="314">
        <f t="shared" si="0"/>
        <v>0</v>
      </c>
      <c r="J16" s="315">
        <f t="shared" si="1"/>
        <v>0</v>
      </c>
      <c r="K16" s="316" t="str">
        <f xml:space="preserve">
IF(AND(AE16="◎",OR(テーブル!$B$3="交付申請",テーブル!$B$3="交付申請（２次以降）",テーブル!$B$3="変更申請")),"－",
IF(AND(AE16&lt;&gt;"◎",OR(テーブル!$B$3="交付申請",テーブル!$B$3="交付申請（２次以降）",テーブル!$B$3="変更申請")),"",
IF(AND(テーブル!$B$3="実績報告",AE16="◎"),COUNTIF($AE$13:AE16,"◎"),"")))</f>
        <v/>
      </c>
      <c r="L16" s="316"/>
      <c r="AC16" s="286" t="s">
        <v>73</v>
      </c>
      <c r="AD16" s="317">
        <v>4</v>
      </c>
      <c r="AE16" s="313" t="str">
        <f t="shared" si="2"/>
        <v>○</v>
      </c>
      <c r="AF16" s="318" t="str">
        <f t="shared" si="3"/>
        <v>申請しない場合は入力不要です。</v>
      </c>
      <c r="AH16" s="318">
        <f t="shared" si="4"/>
        <v>0</v>
      </c>
    </row>
    <row r="17" spans="1:34" ht="20.100000000000001" customHeight="1" x14ac:dyDescent="0.4">
      <c r="A17" s="281">
        <v>5</v>
      </c>
      <c r="B17" s="361"/>
      <c r="C17" s="795"/>
      <c r="D17" s="796"/>
      <c r="E17" s="797"/>
      <c r="F17" s="362"/>
      <c r="G17" s="363"/>
      <c r="H17" s="364"/>
      <c r="I17" s="314">
        <f t="shared" si="0"/>
        <v>0</v>
      </c>
      <c r="J17" s="315">
        <f t="shared" si="1"/>
        <v>0</v>
      </c>
      <c r="K17" s="316" t="str">
        <f xml:space="preserve">
IF(AND(AE17="◎",OR(テーブル!$B$3="交付申請",テーブル!$B$3="交付申請（２次以降）",テーブル!$B$3="変更申請")),"－",
IF(AND(AE17&lt;&gt;"◎",OR(テーブル!$B$3="交付申請",テーブル!$B$3="交付申請（２次以降）",テーブル!$B$3="変更申請")),"",
IF(AND(テーブル!$B$3="実績報告",AE17="◎"),COUNTIF($AE$13:AE17,"◎"),"")))</f>
        <v/>
      </c>
      <c r="L17" s="316"/>
      <c r="AC17" s="286" t="s">
        <v>73</v>
      </c>
      <c r="AD17" s="317">
        <v>5</v>
      </c>
      <c r="AE17" s="313" t="str">
        <f t="shared" si="2"/>
        <v>○</v>
      </c>
      <c r="AF17" s="318" t="str">
        <f t="shared" si="3"/>
        <v>申請しない場合は入力不要です。</v>
      </c>
      <c r="AH17" s="318">
        <f t="shared" si="4"/>
        <v>0</v>
      </c>
    </row>
    <row r="18" spans="1:34" ht="20.100000000000001" customHeight="1" x14ac:dyDescent="0.4">
      <c r="A18" s="281">
        <v>6</v>
      </c>
      <c r="B18" s="361"/>
      <c r="C18" s="795"/>
      <c r="D18" s="796"/>
      <c r="E18" s="797"/>
      <c r="F18" s="362"/>
      <c r="G18" s="363"/>
      <c r="H18" s="364"/>
      <c r="I18" s="314">
        <f t="shared" si="0"/>
        <v>0</v>
      </c>
      <c r="J18" s="315">
        <f t="shared" si="1"/>
        <v>0</v>
      </c>
      <c r="K18" s="316" t="str">
        <f xml:space="preserve">
IF(AND(AE18="◎",OR(テーブル!$B$3="交付申請",テーブル!$B$3="交付申請（２次以降）",テーブル!$B$3="変更申請")),"－",
IF(AND(AE18&lt;&gt;"◎",OR(テーブル!$B$3="交付申請",テーブル!$B$3="交付申請（２次以降）",テーブル!$B$3="変更申請")),"",
IF(AND(テーブル!$B$3="実績報告",AE18="◎"),COUNTIF($AE$13:AE18,"◎"),"")))</f>
        <v/>
      </c>
      <c r="L18" s="316"/>
      <c r="AC18" s="286" t="s">
        <v>73</v>
      </c>
      <c r="AD18" s="317">
        <v>6</v>
      </c>
      <c r="AE18" s="313" t="str">
        <f t="shared" si="2"/>
        <v>○</v>
      </c>
      <c r="AF18" s="318" t="str">
        <f t="shared" si="3"/>
        <v>申請しない場合は入力不要です。</v>
      </c>
      <c r="AH18" s="318">
        <f t="shared" si="4"/>
        <v>0</v>
      </c>
    </row>
    <row r="19" spans="1:34" ht="20.100000000000001" customHeight="1" x14ac:dyDescent="0.4">
      <c r="A19" s="281">
        <v>7</v>
      </c>
      <c r="B19" s="361"/>
      <c r="C19" s="795"/>
      <c r="D19" s="796"/>
      <c r="E19" s="797"/>
      <c r="F19" s="362"/>
      <c r="G19" s="363"/>
      <c r="H19" s="364"/>
      <c r="I19" s="314">
        <f t="shared" si="0"/>
        <v>0</v>
      </c>
      <c r="J19" s="315">
        <f t="shared" si="1"/>
        <v>0</v>
      </c>
      <c r="K19" s="316" t="str">
        <f xml:space="preserve">
IF(AND(AE19="◎",OR(テーブル!$B$3="交付申請",テーブル!$B$3="交付申請（２次以降）",テーブル!$B$3="変更申請")),"－",
IF(AND(AE19&lt;&gt;"◎",OR(テーブル!$B$3="交付申請",テーブル!$B$3="交付申請（２次以降）",テーブル!$B$3="変更申請")),"",
IF(AND(テーブル!$B$3="実績報告",AE19="◎"),COUNTIF($AE$13:AE19,"◎"),"")))</f>
        <v/>
      </c>
      <c r="L19" s="316"/>
      <c r="AC19" s="286" t="s">
        <v>73</v>
      </c>
      <c r="AD19" s="317">
        <v>7</v>
      </c>
      <c r="AE19" s="313" t="str">
        <f t="shared" si="2"/>
        <v>○</v>
      </c>
      <c r="AF19" s="318" t="str">
        <f t="shared" si="3"/>
        <v>申請しない場合は入力不要です。</v>
      </c>
      <c r="AH19" s="318">
        <f t="shared" si="4"/>
        <v>0</v>
      </c>
    </row>
    <row r="20" spans="1:34" ht="20.100000000000001" customHeight="1" x14ac:dyDescent="0.4">
      <c r="A20" s="281">
        <v>8</v>
      </c>
      <c r="B20" s="361"/>
      <c r="C20" s="795"/>
      <c r="D20" s="796"/>
      <c r="E20" s="797"/>
      <c r="F20" s="362"/>
      <c r="G20" s="363"/>
      <c r="H20" s="364"/>
      <c r="I20" s="314">
        <f t="shared" si="0"/>
        <v>0</v>
      </c>
      <c r="J20" s="315">
        <f t="shared" si="1"/>
        <v>0</v>
      </c>
      <c r="K20" s="316" t="str">
        <f xml:space="preserve">
IF(AND(AE20="◎",OR(テーブル!$B$3="交付申請",テーブル!$B$3="交付申請（２次以降）",テーブル!$B$3="変更申請")),"－",
IF(AND(AE20&lt;&gt;"◎",OR(テーブル!$B$3="交付申請",テーブル!$B$3="交付申請（２次以降）",テーブル!$B$3="変更申請")),"",
IF(AND(テーブル!$B$3="実績報告",AE20="◎"),COUNTIF($AE$13:AE20,"◎"),"")))</f>
        <v/>
      </c>
      <c r="L20" s="316"/>
      <c r="T20" s="278"/>
      <c r="U20" s="278"/>
      <c r="V20" s="278"/>
      <c r="AC20" s="286" t="s">
        <v>73</v>
      </c>
      <c r="AD20" s="317">
        <v>8</v>
      </c>
      <c r="AE20" s="313" t="str">
        <f t="shared" si="2"/>
        <v>○</v>
      </c>
      <c r="AF20" s="318" t="str">
        <f t="shared" si="3"/>
        <v>申請しない場合は入力不要です。</v>
      </c>
      <c r="AH20" s="318">
        <f t="shared" si="4"/>
        <v>0</v>
      </c>
    </row>
    <row r="21" spans="1:34" ht="20.100000000000001" customHeight="1" x14ac:dyDescent="0.4">
      <c r="A21" s="281">
        <v>9</v>
      </c>
      <c r="B21" s="361"/>
      <c r="C21" s="795"/>
      <c r="D21" s="796"/>
      <c r="E21" s="797"/>
      <c r="F21" s="362"/>
      <c r="G21" s="363"/>
      <c r="H21" s="364"/>
      <c r="I21" s="314">
        <f t="shared" si="0"/>
        <v>0</v>
      </c>
      <c r="J21" s="315">
        <f t="shared" si="1"/>
        <v>0</v>
      </c>
      <c r="K21" s="316" t="str">
        <f xml:space="preserve">
IF(AND(AE21="◎",OR(テーブル!$B$3="交付申請",テーブル!$B$3="交付申請（２次以降）",テーブル!$B$3="変更申請")),"－",
IF(AND(AE21&lt;&gt;"◎",OR(テーブル!$B$3="交付申請",テーブル!$B$3="交付申請（２次以降）",テーブル!$B$3="変更申請")),"",
IF(AND(テーブル!$B$3="実績報告",AE21="◎"),COUNTIF($AE$13:AE21,"◎"),"")))</f>
        <v/>
      </c>
      <c r="L21" s="316"/>
      <c r="AC21" s="286" t="s">
        <v>73</v>
      </c>
      <c r="AD21" s="317">
        <v>9</v>
      </c>
      <c r="AE21" s="313" t="str">
        <f t="shared" si="2"/>
        <v>○</v>
      </c>
      <c r="AF21" s="318" t="str">
        <f t="shared" si="3"/>
        <v>申請しない場合は入力不要です。</v>
      </c>
      <c r="AH21" s="318">
        <f t="shared" si="4"/>
        <v>0</v>
      </c>
    </row>
    <row r="22" spans="1:34" ht="20.100000000000001" customHeight="1" x14ac:dyDescent="0.4">
      <c r="A22" s="281">
        <v>10</v>
      </c>
      <c r="B22" s="361"/>
      <c r="C22" s="795"/>
      <c r="D22" s="796"/>
      <c r="E22" s="797"/>
      <c r="F22" s="362"/>
      <c r="G22" s="363"/>
      <c r="H22" s="364"/>
      <c r="I22" s="314">
        <f t="shared" si="0"/>
        <v>0</v>
      </c>
      <c r="J22" s="315">
        <f t="shared" si="1"/>
        <v>0</v>
      </c>
      <c r="K22" s="316" t="str">
        <f xml:space="preserve">
IF(AND(AE22="◎",OR(テーブル!$B$3="交付申請",テーブル!$B$3="交付申請（２次以降）",テーブル!$B$3="変更申請")),"－",
IF(AND(AE22&lt;&gt;"◎",OR(テーブル!$B$3="交付申請",テーブル!$B$3="交付申請（２次以降）",テーブル!$B$3="変更申請")),"",
IF(AND(テーブル!$B$3="実績報告",AE22="◎"),COUNTIF($AE$13:AE22,"◎"),"")))</f>
        <v/>
      </c>
      <c r="L22" s="316"/>
      <c r="AC22" s="286" t="s">
        <v>73</v>
      </c>
      <c r="AD22" s="317">
        <v>10</v>
      </c>
      <c r="AE22" s="313" t="str">
        <f t="shared" si="2"/>
        <v>○</v>
      </c>
      <c r="AF22" s="318" t="str">
        <f t="shared" si="3"/>
        <v>申請しない場合は入力不要です。</v>
      </c>
      <c r="AH22" s="318">
        <f t="shared" si="4"/>
        <v>0</v>
      </c>
    </row>
    <row r="23" spans="1:34" ht="20.100000000000001" customHeight="1" x14ac:dyDescent="0.4">
      <c r="A23" s="281">
        <v>11</v>
      </c>
      <c r="B23" s="361"/>
      <c r="C23" s="795"/>
      <c r="D23" s="796"/>
      <c r="E23" s="797"/>
      <c r="F23" s="362"/>
      <c r="G23" s="363"/>
      <c r="H23" s="364"/>
      <c r="I23" s="314">
        <f t="shared" si="0"/>
        <v>0</v>
      </c>
      <c r="J23" s="315">
        <f t="shared" si="1"/>
        <v>0</v>
      </c>
      <c r="K23" s="316" t="str">
        <f xml:space="preserve">
IF(AND(AE23="◎",OR(テーブル!$B$3="交付申請",テーブル!$B$3="交付申請（２次以降）",テーブル!$B$3="変更申請")),"－",
IF(AND(AE23&lt;&gt;"◎",OR(テーブル!$B$3="交付申請",テーブル!$B$3="交付申請（２次以降）",テーブル!$B$3="変更申請")),"",
IF(AND(テーブル!$B$3="実績報告",AE23="◎"),COUNTIF($AE$13:AE23,"◎"),"")))</f>
        <v/>
      </c>
      <c r="L23" s="316"/>
      <c r="AC23" s="286" t="s">
        <v>73</v>
      </c>
      <c r="AD23" s="317">
        <v>11</v>
      </c>
      <c r="AE23" s="313" t="str">
        <f t="shared" si="2"/>
        <v>○</v>
      </c>
      <c r="AF23" s="318" t="str">
        <f t="shared" si="3"/>
        <v>申請しない場合は入力不要です。</v>
      </c>
      <c r="AH23" s="318">
        <f t="shared" si="4"/>
        <v>0</v>
      </c>
    </row>
    <row r="24" spans="1:34" ht="20.100000000000001" customHeight="1" x14ac:dyDescent="0.4">
      <c r="A24" s="281">
        <v>12</v>
      </c>
      <c r="B24" s="361"/>
      <c r="C24" s="795"/>
      <c r="D24" s="796"/>
      <c r="E24" s="797"/>
      <c r="F24" s="362"/>
      <c r="G24" s="363"/>
      <c r="H24" s="364"/>
      <c r="I24" s="314">
        <f t="shared" si="0"/>
        <v>0</v>
      </c>
      <c r="J24" s="315">
        <f t="shared" si="1"/>
        <v>0</v>
      </c>
      <c r="K24" s="316" t="str">
        <f xml:space="preserve">
IF(AND(AE24="◎",OR(テーブル!$B$3="交付申請",テーブル!$B$3="交付申請（２次以降）",テーブル!$B$3="変更申請")),"－",
IF(AND(AE24&lt;&gt;"◎",OR(テーブル!$B$3="交付申請",テーブル!$B$3="交付申請（２次以降）",テーブル!$B$3="変更申請")),"",
IF(AND(テーブル!$B$3="実績報告",AE24="◎"),COUNTIF($AE$13:AE24,"◎"),"")))</f>
        <v/>
      </c>
      <c r="L24" s="316"/>
      <c r="AC24" s="286" t="s">
        <v>73</v>
      </c>
      <c r="AD24" s="317">
        <v>12</v>
      </c>
      <c r="AE24" s="313" t="str">
        <f t="shared" si="2"/>
        <v>○</v>
      </c>
      <c r="AF24" s="318" t="str">
        <f t="shared" si="3"/>
        <v>申請しない場合は入力不要です。</v>
      </c>
      <c r="AH24" s="318">
        <f t="shared" si="4"/>
        <v>0</v>
      </c>
    </row>
    <row r="25" spans="1:34" ht="20.100000000000001" customHeight="1" x14ac:dyDescent="0.4">
      <c r="A25" s="281">
        <v>13</v>
      </c>
      <c r="B25" s="361"/>
      <c r="C25" s="795"/>
      <c r="D25" s="796"/>
      <c r="E25" s="797"/>
      <c r="F25" s="362"/>
      <c r="G25" s="363"/>
      <c r="H25" s="364"/>
      <c r="I25" s="314">
        <f t="shared" si="0"/>
        <v>0</v>
      </c>
      <c r="J25" s="315">
        <f t="shared" si="1"/>
        <v>0</v>
      </c>
      <c r="K25" s="316" t="str">
        <f xml:space="preserve">
IF(AND(AE25="◎",OR(テーブル!$B$3="交付申請",テーブル!$B$3="交付申請（２次以降）",テーブル!$B$3="変更申請")),"－",
IF(AND(AE25&lt;&gt;"◎",OR(テーブル!$B$3="交付申請",テーブル!$B$3="交付申請（２次以降）",テーブル!$B$3="変更申請")),"",
IF(AND(テーブル!$B$3="実績報告",AE25="◎"),COUNTIF($AE$13:AE25,"◎"),"")))</f>
        <v/>
      </c>
      <c r="L25" s="316"/>
      <c r="AC25" s="286" t="s">
        <v>73</v>
      </c>
      <c r="AD25" s="317">
        <v>13</v>
      </c>
      <c r="AE25" s="313" t="str">
        <f t="shared" si="2"/>
        <v>○</v>
      </c>
      <c r="AF25" s="318" t="str">
        <f t="shared" si="3"/>
        <v>申請しない場合は入力不要です。</v>
      </c>
      <c r="AH25" s="318">
        <f t="shared" si="4"/>
        <v>0</v>
      </c>
    </row>
    <row r="26" spans="1:34" ht="20.100000000000001" customHeight="1" x14ac:dyDescent="0.4">
      <c r="A26" s="281">
        <v>14</v>
      </c>
      <c r="B26" s="361"/>
      <c r="C26" s="795"/>
      <c r="D26" s="796"/>
      <c r="E26" s="797"/>
      <c r="F26" s="362"/>
      <c r="G26" s="363"/>
      <c r="H26" s="364"/>
      <c r="I26" s="314">
        <f t="shared" si="0"/>
        <v>0</v>
      </c>
      <c r="J26" s="315">
        <f t="shared" si="1"/>
        <v>0</v>
      </c>
      <c r="K26" s="316" t="str">
        <f xml:space="preserve">
IF(AND(AE26="◎",OR(テーブル!$B$3="交付申請",テーブル!$B$3="交付申請（２次以降）",テーブル!$B$3="変更申請")),"－",
IF(AND(AE26&lt;&gt;"◎",OR(テーブル!$B$3="交付申請",テーブル!$B$3="交付申請（２次以降）",テーブル!$B$3="変更申請")),"",
IF(AND(テーブル!$B$3="実績報告",AE26="◎"),COUNTIF($AE$13:AE26,"◎"),"")))</f>
        <v/>
      </c>
      <c r="L26" s="316"/>
      <c r="AC26" s="286" t="s">
        <v>73</v>
      </c>
      <c r="AD26" s="317">
        <v>14</v>
      </c>
      <c r="AE26" s="313" t="str">
        <f t="shared" si="2"/>
        <v>○</v>
      </c>
      <c r="AF26" s="318" t="str">
        <f t="shared" si="3"/>
        <v>申請しない場合は入力不要です。</v>
      </c>
      <c r="AH26" s="318">
        <f t="shared" si="4"/>
        <v>0</v>
      </c>
    </row>
    <row r="27" spans="1:34" ht="20.100000000000001" customHeight="1" x14ac:dyDescent="0.4">
      <c r="A27" s="281">
        <v>15</v>
      </c>
      <c r="B27" s="361"/>
      <c r="C27" s="795"/>
      <c r="D27" s="796"/>
      <c r="E27" s="797"/>
      <c r="F27" s="362"/>
      <c r="G27" s="363"/>
      <c r="H27" s="364"/>
      <c r="I27" s="314">
        <f t="shared" si="0"/>
        <v>0</v>
      </c>
      <c r="J27" s="315">
        <f t="shared" si="1"/>
        <v>0</v>
      </c>
      <c r="K27" s="316" t="str">
        <f xml:space="preserve">
IF(AND(AE27="◎",OR(テーブル!$B$3="交付申請",テーブル!$B$3="交付申請（２次以降）",テーブル!$B$3="変更申請")),"－",
IF(AND(AE27&lt;&gt;"◎",OR(テーブル!$B$3="交付申請",テーブル!$B$3="交付申請（２次以降）",テーブル!$B$3="変更申請")),"",
IF(AND(テーブル!$B$3="実績報告",AE27="◎"),COUNTIF($AE$13:AE27,"◎"),"")))</f>
        <v/>
      </c>
      <c r="L27" s="316"/>
      <c r="AC27" s="286" t="s">
        <v>73</v>
      </c>
      <c r="AD27" s="317">
        <v>15</v>
      </c>
      <c r="AE27" s="313" t="str">
        <f t="shared" si="2"/>
        <v>○</v>
      </c>
      <c r="AF27" s="318" t="str">
        <f t="shared" si="3"/>
        <v>申請しない場合は入力不要です。</v>
      </c>
      <c r="AH27" s="318">
        <f t="shared" si="4"/>
        <v>0</v>
      </c>
    </row>
    <row r="28" spans="1:34" ht="20.100000000000001" customHeight="1" x14ac:dyDescent="0.4">
      <c r="A28" s="281">
        <v>16</v>
      </c>
      <c r="B28" s="361"/>
      <c r="C28" s="795"/>
      <c r="D28" s="796"/>
      <c r="E28" s="797"/>
      <c r="F28" s="362"/>
      <c r="G28" s="363"/>
      <c r="H28" s="364"/>
      <c r="I28" s="314">
        <f t="shared" si="0"/>
        <v>0</v>
      </c>
      <c r="J28" s="315">
        <f t="shared" si="1"/>
        <v>0</v>
      </c>
      <c r="K28" s="316" t="str">
        <f xml:space="preserve">
IF(AND(AE28="◎",OR(テーブル!$B$3="交付申請",テーブル!$B$3="交付申請（２次以降）",テーブル!$B$3="変更申請")),"－",
IF(AND(AE28&lt;&gt;"◎",OR(テーブル!$B$3="交付申請",テーブル!$B$3="交付申請（２次以降）",テーブル!$B$3="変更申請")),"",
IF(AND(テーブル!$B$3="実績報告",AE28="◎"),COUNTIF($AE$13:AE28,"◎"),"")))</f>
        <v/>
      </c>
      <c r="L28" s="316"/>
      <c r="AC28" s="286" t="s">
        <v>73</v>
      </c>
      <c r="AD28" s="317">
        <v>16</v>
      </c>
      <c r="AE28" s="313" t="str">
        <f t="shared" si="2"/>
        <v>○</v>
      </c>
      <c r="AF28" s="318" t="str">
        <f t="shared" si="3"/>
        <v>申請しない場合は入力不要です。</v>
      </c>
      <c r="AH28" s="318">
        <f t="shared" si="4"/>
        <v>0</v>
      </c>
    </row>
    <row r="29" spans="1:34" ht="20.100000000000001" customHeight="1" x14ac:dyDescent="0.4">
      <c r="A29" s="281">
        <v>17</v>
      </c>
      <c r="B29" s="361"/>
      <c r="C29" s="795"/>
      <c r="D29" s="796"/>
      <c r="E29" s="797"/>
      <c r="F29" s="362"/>
      <c r="G29" s="363"/>
      <c r="H29" s="364"/>
      <c r="I29" s="314">
        <f t="shared" si="0"/>
        <v>0</v>
      </c>
      <c r="J29" s="315">
        <f t="shared" si="1"/>
        <v>0</v>
      </c>
      <c r="K29" s="316" t="str">
        <f xml:space="preserve">
IF(AND(AE29="◎",OR(テーブル!$B$3="交付申請",テーブル!$B$3="交付申請（２次以降）",テーブル!$B$3="変更申請")),"－",
IF(AND(AE29&lt;&gt;"◎",OR(テーブル!$B$3="交付申請",テーブル!$B$3="交付申請（２次以降）",テーブル!$B$3="変更申請")),"",
IF(AND(テーブル!$B$3="実績報告",AE29="◎"),COUNTIF($AE$13:AE29,"◎"),"")))</f>
        <v/>
      </c>
      <c r="L29" s="316"/>
      <c r="AC29" s="286" t="s">
        <v>73</v>
      </c>
      <c r="AD29" s="317">
        <v>17</v>
      </c>
      <c r="AE29" s="313" t="str">
        <f t="shared" si="2"/>
        <v>○</v>
      </c>
      <c r="AF29" s="318" t="str">
        <f t="shared" si="3"/>
        <v>申請しない場合は入力不要です。</v>
      </c>
      <c r="AH29" s="318">
        <f t="shared" si="4"/>
        <v>0</v>
      </c>
    </row>
    <row r="30" spans="1:34" ht="20.100000000000001" customHeight="1" x14ac:dyDescent="0.4">
      <c r="A30" s="281">
        <v>18</v>
      </c>
      <c r="B30" s="361"/>
      <c r="C30" s="795"/>
      <c r="D30" s="796"/>
      <c r="E30" s="797"/>
      <c r="F30" s="362"/>
      <c r="G30" s="363"/>
      <c r="H30" s="364"/>
      <c r="I30" s="314">
        <f t="shared" si="0"/>
        <v>0</v>
      </c>
      <c r="J30" s="315">
        <f t="shared" si="1"/>
        <v>0</v>
      </c>
      <c r="K30" s="316" t="str">
        <f xml:space="preserve">
IF(AND(AE30="◎",OR(テーブル!$B$3="交付申請",テーブル!$B$3="交付申請（２次以降）",テーブル!$B$3="変更申請")),"－",
IF(AND(AE30&lt;&gt;"◎",OR(テーブル!$B$3="交付申請",テーブル!$B$3="交付申請（２次以降）",テーブル!$B$3="変更申請")),"",
IF(AND(テーブル!$B$3="実績報告",AE30="◎"),COUNTIF($AE$13:AE30,"◎"),"")))</f>
        <v/>
      </c>
      <c r="L30" s="316"/>
      <c r="AC30" s="286" t="s">
        <v>73</v>
      </c>
      <c r="AD30" s="317">
        <v>18</v>
      </c>
      <c r="AE30" s="313" t="str">
        <f t="shared" si="2"/>
        <v>○</v>
      </c>
      <c r="AF30" s="318" t="str">
        <f t="shared" si="3"/>
        <v>申請しない場合は入力不要です。</v>
      </c>
      <c r="AH30" s="318">
        <f t="shared" si="4"/>
        <v>0</v>
      </c>
    </row>
    <row r="31" spans="1:34" ht="20.100000000000001" customHeight="1" x14ac:dyDescent="0.4">
      <c r="A31" s="281">
        <v>19</v>
      </c>
      <c r="B31" s="361"/>
      <c r="C31" s="795"/>
      <c r="D31" s="796"/>
      <c r="E31" s="797"/>
      <c r="F31" s="362"/>
      <c r="G31" s="363"/>
      <c r="H31" s="364"/>
      <c r="I31" s="314">
        <f t="shared" si="0"/>
        <v>0</v>
      </c>
      <c r="J31" s="315">
        <f t="shared" si="1"/>
        <v>0</v>
      </c>
      <c r="K31" s="316" t="str">
        <f xml:space="preserve">
IF(AND(AE31="◎",OR(テーブル!$B$3="交付申請",テーブル!$B$3="交付申請（２次以降）",テーブル!$B$3="変更申請")),"－",
IF(AND(AE31&lt;&gt;"◎",OR(テーブル!$B$3="交付申請",テーブル!$B$3="交付申請（２次以降）",テーブル!$B$3="変更申請")),"",
IF(AND(テーブル!$B$3="実績報告",AE31="◎"),COUNTIF($AE$13:AE31,"◎"),"")))</f>
        <v/>
      </c>
      <c r="L31" s="316"/>
      <c r="AC31" s="286" t="s">
        <v>73</v>
      </c>
      <c r="AD31" s="317">
        <v>19</v>
      </c>
      <c r="AE31" s="313" t="str">
        <f t="shared" si="2"/>
        <v>○</v>
      </c>
      <c r="AF31" s="318" t="str">
        <f t="shared" si="3"/>
        <v>申請しない場合は入力不要です。</v>
      </c>
      <c r="AH31" s="318">
        <f t="shared" si="4"/>
        <v>0</v>
      </c>
    </row>
    <row r="32" spans="1:34" ht="20.100000000000001" customHeight="1" x14ac:dyDescent="0.4">
      <c r="A32" s="281">
        <v>20</v>
      </c>
      <c r="B32" s="361"/>
      <c r="C32" s="795"/>
      <c r="D32" s="796"/>
      <c r="E32" s="797"/>
      <c r="F32" s="362"/>
      <c r="G32" s="363"/>
      <c r="H32" s="364"/>
      <c r="I32" s="314">
        <f t="shared" si="0"/>
        <v>0</v>
      </c>
      <c r="J32" s="315">
        <f t="shared" si="1"/>
        <v>0</v>
      </c>
      <c r="K32" s="316" t="str">
        <f xml:space="preserve">
IF(AND(AE32="◎",OR(テーブル!$B$3="交付申請",テーブル!$B$3="交付申請（２次以降）",テーブル!$B$3="変更申請")),"－",
IF(AND(AE32&lt;&gt;"◎",OR(テーブル!$B$3="交付申請",テーブル!$B$3="交付申請（２次以降）",テーブル!$B$3="変更申請")),"",
IF(AND(テーブル!$B$3="実績報告",AE32="◎"),COUNTIF($AE$13:AE32,"◎"),"")))</f>
        <v/>
      </c>
      <c r="L32" s="316"/>
      <c r="AC32" s="286" t="s">
        <v>73</v>
      </c>
      <c r="AD32" s="317">
        <v>20</v>
      </c>
      <c r="AE32" s="313" t="str">
        <f t="shared" si="2"/>
        <v>○</v>
      </c>
      <c r="AF32" s="318" t="str">
        <f t="shared" si="3"/>
        <v>申請しない場合は入力不要です。</v>
      </c>
      <c r="AH32" s="318">
        <f t="shared" si="4"/>
        <v>0</v>
      </c>
    </row>
    <row r="33" spans="1:34" ht="20.100000000000001" customHeight="1" x14ac:dyDescent="0.4">
      <c r="A33" s="281">
        <v>21</v>
      </c>
      <c r="B33" s="361"/>
      <c r="C33" s="795"/>
      <c r="D33" s="796"/>
      <c r="E33" s="797"/>
      <c r="F33" s="362"/>
      <c r="G33" s="363"/>
      <c r="H33" s="364"/>
      <c r="I33" s="314">
        <f t="shared" si="0"/>
        <v>0</v>
      </c>
      <c r="J33" s="315">
        <f t="shared" si="1"/>
        <v>0</v>
      </c>
      <c r="K33" s="316" t="str">
        <f xml:space="preserve">
IF(AND(AE33="◎",OR(テーブル!$B$3="交付申請",テーブル!$B$3="交付申請（２次以降）",テーブル!$B$3="変更申請")),"－",
IF(AND(AE33&lt;&gt;"◎",OR(テーブル!$B$3="交付申請",テーブル!$B$3="交付申請（２次以降）",テーブル!$B$3="変更申請")),"",
IF(AND(テーブル!$B$3="実績報告",AE33="◎"),COUNTIF($AE$13:AE33,"◎"),"")))</f>
        <v/>
      </c>
      <c r="L33" s="316"/>
      <c r="AC33" s="286" t="s">
        <v>73</v>
      </c>
      <c r="AD33" s="317">
        <v>21</v>
      </c>
      <c r="AE33" s="313" t="str">
        <f t="shared" si="2"/>
        <v>○</v>
      </c>
      <c r="AF33" s="318" t="str">
        <f t="shared" si="3"/>
        <v>申請しない場合は入力不要です。</v>
      </c>
      <c r="AH33" s="318">
        <f t="shared" si="4"/>
        <v>0</v>
      </c>
    </row>
    <row r="34" spans="1:34" ht="20.100000000000001" customHeight="1" x14ac:dyDescent="0.4">
      <c r="A34" s="281">
        <v>22</v>
      </c>
      <c r="B34" s="361"/>
      <c r="C34" s="795"/>
      <c r="D34" s="796"/>
      <c r="E34" s="797"/>
      <c r="F34" s="362"/>
      <c r="G34" s="363"/>
      <c r="H34" s="364"/>
      <c r="I34" s="314">
        <f t="shared" si="0"/>
        <v>0</v>
      </c>
      <c r="J34" s="315">
        <f t="shared" si="1"/>
        <v>0</v>
      </c>
      <c r="K34" s="316" t="str">
        <f xml:space="preserve">
IF(AND(AE34="◎",OR(テーブル!$B$3="交付申請",テーブル!$B$3="交付申請（２次以降）",テーブル!$B$3="変更申請")),"－",
IF(AND(AE34&lt;&gt;"◎",OR(テーブル!$B$3="交付申請",テーブル!$B$3="交付申請（２次以降）",テーブル!$B$3="変更申請")),"",
IF(AND(テーブル!$B$3="実績報告",AE34="◎"),COUNTIF($AE$13:AE34,"◎"),"")))</f>
        <v/>
      </c>
      <c r="L34" s="316"/>
      <c r="AC34" s="286" t="s">
        <v>73</v>
      </c>
      <c r="AD34" s="317">
        <v>22</v>
      </c>
      <c r="AE34" s="313" t="str">
        <f t="shared" si="2"/>
        <v>○</v>
      </c>
      <c r="AF34" s="318" t="str">
        <f t="shared" si="3"/>
        <v>申請しない場合は入力不要です。</v>
      </c>
      <c r="AH34" s="318">
        <f t="shared" si="4"/>
        <v>0</v>
      </c>
    </row>
    <row r="35" spans="1:34" ht="20.100000000000001" customHeight="1" x14ac:dyDescent="0.4">
      <c r="A35" s="281">
        <v>23</v>
      </c>
      <c r="B35" s="361"/>
      <c r="C35" s="795"/>
      <c r="D35" s="796"/>
      <c r="E35" s="797"/>
      <c r="F35" s="362"/>
      <c r="G35" s="363"/>
      <c r="H35" s="364"/>
      <c r="I35" s="314">
        <f t="shared" si="0"/>
        <v>0</v>
      </c>
      <c r="J35" s="315">
        <f t="shared" si="1"/>
        <v>0</v>
      </c>
      <c r="K35" s="316" t="str">
        <f xml:space="preserve">
IF(AND(AE35="◎",OR(テーブル!$B$3="交付申請",テーブル!$B$3="交付申請（２次以降）",テーブル!$B$3="変更申請")),"－",
IF(AND(AE35&lt;&gt;"◎",OR(テーブル!$B$3="交付申請",テーブル!$B$3="交付申請（２次以降）",テーブル!$B$3="変更申請")),"",
IF(AND(テーブル!$B$3="実績報告",AE35="◎"),COUNTIF($AE$13:AE35,"◎"),"")))</f>
        <v/>
      </c>
      <c r="L35" s="316"/>
      <c r="AC35" s="286" t="s">
        <v>73</v>
      </c>
      <c r="AD35" s="317">
        <v>23</v>
      </c>
      <c r="AE35" s="313" t="str">
        <f t="shared" si="2"/>
        <v>○</v>
      </c>
      <c r="AF35" s="318" t="str">
        <f t="shared" si="3"/>
        <v>申請しない場合は入力不要です。</v>
      </c>
      <c r="AH35" s="318">
        <f t="shared" si="4"/>
        <v>0</v>
      </c>
    </row>
    <row r="36" spans="1:34" ht="20.100000000000001" customHeight="1" x14ac:dyDescent="0.4">
      <c r="A36" s="281">
        <v>24</v>
      </c>
      <c r="B36" s="361"/>
      <c r="C36" s="795"/>
      <c r="D36" s="796"/>
      <c r="E36" s="797"/>
      <c r="F36" s="362"/>
      <c r="G36" s="363"/>
      <c r="H36" s="364"/>
      <c r="I36" s="314">
        <f t="shared" si="0"/>
        <v>0</v>
      </c>
      <c r="J36" s="315">
        <f t="shared" si="1"/>
        <v>0</v>
      </c>
      <c r="K36" s="316" t="str">
        <f xml:space="preserve">
IF(AND(AE36="◎",OR(テーブル!$B$3="交付申請",テーブル!$B$3="交付申請（２次以降）",テーブル!$B$3="変更申請")),"－",
IF(AND(AE36&lt;&gt;"◎",OR(テーブル!$B$3="交付申請",テーブル!$B$3="交付申請（２次以降）",テーブル!$B$3="変更申請")),"",
IF(AND(テーブル!$B$3="実績報告",AE36="◎"),COUNTIF($AE$13:AE36,"◎"),"")))</f>
        <v/>
      </c>
      <c r="L36" s="316"/>
      <c r="AC36" s="286" t="s">
        <v>73</v>
      </c>
      <c r="AD36" s="317">
        <v>24</v>
      </c>
      <c r="AE36" s="313" t="str">
        <f t="shared" si="2"/>
        <v>○</v>
      </c>
      <c r="AF36" s="318" t="str">
        <f t="shared" si="3"/>
        <v>申請しない場合は入力不要です。</v>
      </c>
      <c r="AH36" s="318">
        <f t="shared" si="4"/>
        <v>0</v>
      </c>
    </row>
    <row r="37" spans="1:34" ht="20.100000000000001" customHeight="1" x14ac:dyDescent="0.4">
      <c r="A37" s="281">
        <v>25</v>
      </c>
      <c r="B37" s="361"/>
      <c r="C37" s="795"/>
      <c r="D37" s="796"/>
      <c r="E37" s="797"/>
      <c r="F37" s="362"/>
      <c r="G37" s="363"/>
      <c r="H37" s="364"/>
      <c r="I37" s="314">
        <f t="shared" si="0"/>
        <v>0</v>
      </c>
      <c r="J37" s="315">
        <f t="shared" si="1"/>
        <v>0</v>
      </c>
      <c r="K37" s="316" t="str">
        <f xml:space="preserve">
IF(AND(AE37="◎",OR(テーブル!$B$3="交付申請",テーブル!$B$3="交付申請（２次以降）",テーブル!$B$3="変更申請")),"－",
IF(AND(AE37&lt;&gt;"◎",OR(テーブル!$B$3="交付申請",テーブル!$B$3="交付申請（２次以降）",テーブル!$B$3="変更申請")),"",
IF(AND(テーブル!$B$3="実績報告",AE37="◎"),COUNTIF($AE$13:AE37,"◎"),"")))</f>
        <v/>
      </c>
      <c r="L37" s="316"/>
      <c r="AC37" s="286" t="s">
        <v>73</v>
      </c>
      <c r="AD37" s="317">
        <v>25</v>
      </c>
      <c r="AE37" s="313" t="str">
        <f t="shared" si="2"/>
        <v>○</v>
      </c>
      <c r="AF37" s="318" t="str">
        <f t="shared" si="3"/>
        <v>申請しない場合は入力不要です。</v>
      </c>
      <c r="AH37" s="318">
        <f t="shared" si="4"/>
        <v>0</v>
      </c>
    </row>
    <row r="38" spans="1:34" ht="20.100000000000001" customHeight="1" x14ac:dyDescent="0.4">
      <c r="A38" s="281">
        <v>26</v>
      </c>
      <c r="B38" s="361"/>
      <c r="C38" s="795"/>
      <c r="D38" s="796"/>
      <c r="E38" s="797"/>
      <c r="F38" s="362"/>
      <c r="G38" s="363"/>
      <c r="H38" s="364"/>
      <c r="I38" s="314">
        <f t="shared" si="0"/>
        <v>0</v>
      </c>
      <c r="J38" s="315">
        <f t="shared" si="1"/>
        <v>0</v>
      </c>
      <c r="K38" s="316" t="str">
        <f xml:space="preserve">
IF(AND(AE38="◎",OR(テーブル!$B$3="交付申請",テーブル!$B$3="交付申請（２次以降）",テーブル!$B$3="変更申請")),"－",
IF(AND(AE38&lt;&gt;"◎",OR(テーブル!$B$3="交付申請",テーブル!$B$3="交付申請（２次以降）",テーブル!$B$3="変更申請")),"",
IF(AND(テーブル!$B$3="実績報告",AE38="◎"),COUNTIF($AE$13:AE38,"◎"),"")))</f>
        <v/>
      </c>
      <c r="L38" s="316"/>
      <c r="AC38" s="286" t="s">
        <v>73</v>
      </c>
      <c r="AD38" s="317">
        <v>26</v>
      </c>
      <c r="AE38" s="313" t="str">
        <f t="shared" si="2"/>
        <v>○</v>
      </c>
      <c r="AF38" s="318" t="str">
        <f t="shared" si="3"/>
        <v>申請しない場合は入力不要です。</v>
      </c>
      <c r="AH38" s="318">
        <f t="shared" si="4"/>
        <v>0</v>
      </c>
    </row>
    <row r="39" spans="1:34" ht="20.100000000000001" customHeight="1" x14ac:dyDescent="0.4">
      <c r="A39" s="281">
        <v>27</v>
      </c>
      <c r="B39" s="361"/>
      <c r="C39" s="795"/>
      <c r="D39" s="796"/>
      <c r="E39" s="797"/>
      <c r="F39" s="362"/>
      <c r="G39" s="363"/>
      <c r="H39" s="364"/>
      <c r="I39" s="314">
        <f t="shared" si="0"/>
        <v>0</v>
      </c>
      <c r="J39" s="315">
        <f t="shared" si="1"/>
        <v>0</v>
      </c>
      <c r="K39" s="316" t="str">
        <f xml:space="preserve">
IF(AND(AE39="◎",OR(テーブル!$B$3="交付申請",テーブル!$B$3="交付申請（２次以降）",テーブル!$B$3="変更申請")),"－",
IF(AND(AE39&lt;&gt;"◎",OR(テーブル!$B$3="交付申請",テーブル!$B$3="交付申請（２次以降）",テーブル!$B$3="変更申請")),"",
IF(AND(テーブル!$B$3="実績報告",AE39="◎"),COUNTIF($AE$13:AE39,"◎"),"")))</f>
        <v/>
      </c>
      <c r="L39" s="316"/>
      <c r="AC39" s="286" t="s">
        <v>73</v>
      </c>
      <c r="AD39" s="317">
        <v>27</v>
      </c>
      <c r="AE39" s="313" t="str">
        <f t="shared" si="2"/>
        <v>○</v>
      </c>
      <c r="AF39" s="318" t="str">
        <f t="shared" si="3"/>
        <v>申請しない場合は入力不要です。</v>
      </c>
      <c r="AH39" s="318">
        <f t="shared" si="4"/>
        <v>0</v>
      </c>
    </row>
    <row r="40" spans="1:34" ht="20.100000000000001" customHeight="1" x14ac:dyDescent="0.4">
      <c r="A40" s="281">
        <v>28</v>
      </c>
      <c r="B40" s="361"/>
      <c r="C40" s="795"/>
      <c r="D40" s="796"/>
      <c r="E40" s="797"/>
      <c r="F40" s="362"/>
      <c r="G40" s="363"/>
      <c r="H40" s="364"/>
      <c r="I40" s="314">
        <f t="shared" si="0"/>
        <v>0</v>
      </c>
      <c r="J40" s="315">
        <f t="shared" si="1"/>
        <v>0</v>
      </c>
      <c r="K40" s="316" t="str">
        <f xml:space="preserve">
IF(AND(AE40="◎",OR(テーブル!$B$3="交付申請",テーブル!$B$3="交付申請（２次以降）",テーブル!$B$3="変更申請")),"－",
IF(AND(AE40&lt;&gt;"◎",OR(テーブル!$B$3="交付申請",テーブル!$B$3="交付申請（２次以降）",テーブル!$B$3="変更申請")),"",
IF(AND(テーブル!$B$3="実績報告",AE40="◎"),COUNTIF($AE$13:AE40,"◎"),"")))</f>
        <v/>
      </c>
      <c r="L40" s="316"/>
      <c r="AC40" s="286" t="s">
        <v>73</v>
      </c>
      <c r="AD40" s="317">
        <v>28</v>
      </c>
      <c r="AE40" s="313" t="str">
        <f t="shared" si="2"/>
        <v>○</v>
      </c>
      <c r="AF40" s="318" t="str">
        <f t="shared" si="3"/>
        <v>申請しない場合は入力不要です。</v>
      </c>
      <c r="AH40" s="318">
        <f t="shared" si="4"/>
        <v>0</v>
      </c>
    </row>
    <row r="41" spans="1:34" ht="20.100000000000001" customHeight="1" x14ac:dyDescent="0.4">
      <c r="A41" s="281">
        <v>29</v>
      </c>
      <c r="B41" s="361"/>
      <c r="C41" s="795"/>
      <c r="D41" s="796"/>
      <c r="E41" s="797"/>
      <c r="F41" s="362"/>
      <c r="G41" s="363"/>
      <c r="H41" s="364"/>
      <c r="I41" s="314">
        <f t="shared" si="0"/>
        <v>0</v>
      </c>
      <c r="J41" s="315">
        <f t="shared" si="1"/>
        <v>0</v>
      </c>
      <c r="K41" s="316" t="str">
        <f xml:space="preserve">
IF(AND(AE41="◎",OR(テーブル!$B$3="交付申請",テーブル!$B$3="交付申請（２次以降）",テーブル!$B$3="変更申請")),"－",
IF(AND(AE41&lt;&gt;"◎",OR(テーブル!$B$3="交付申請",テーブル!$B$3="交付申請（２次以降）",テーブル!$B$3="変更申請")),"",
IF(AND(テーブル!$B$3="実績報告",AE41="◎"),COUNTIF($AE$13:AE41,"◎"),"")))</f>
        <v/>
      </c>
      <c r="L41" s="316"/>
      <c r="AC41" s="286" t="s">
        <v>73</v>
      </c>
      <c r="AD41" s="317">
        <v>29</v>
      </c>
      <c r="AE41" s="313" t="str">
        <f t="shared" si="2"/>
        <v>○</v>
      </c>
      <c r="AF41" s="318" t="str">
        <f t="shared" si="3"/>
        <v>申請しない場合は入力不要です。</v>
      </c>
      <c r="AH41" s="318">
        <f t="shared" si="4"/>
        <v>0</v>
      </c>
    </row>
    <row r="42" spans="1:34" ht="20.100000000000001" customHeight="1" x14ac:dyDescent="0.4">
      <c r="A42" s="281">
        <v>30</v>
      </c>
      <c r="B42" s="361"/>
      <c r="C42" s="795"/>
      <c r="D42" s="796"/>
      <c r="E42" s="797"/>
      <c r="F42" s="362"/>
      <c r="G42" s="363"/>
      <c r="H42" s="364"/>
      <c r="I42" s="314">
        <f t="shared" si="0"/>
        <v>0</v>
      </c>
      <c r="J42" s="315">
        <f t="shared" si="1"/>
        <v>0</v>
      </c>
      <c r="K42" s="316" t="str">
        <f xml:space="preserve">
IF(AND(AE42="◎",OR(テーブル!$B$3="交付申請",テーブル!$B$3="交付申請（２次以降）",テーブル!$B$3="変更申請")),"－",
IF(AND(AE42&lt;&gt;"◎",OR(テーブル!$B$3="交付申請",テーブル!$B$3="交付申請（２次以降）",テーブル!$B$3="変更申請")),"",
IF(AND(テーブル!$B$3="実績報告",AE42="◎"),COUNTIF($AE$13:AE42,"◎"),"")))</f>
        <v/>
      </c>
      <c r="L42" s="316"/>
      <c r="AC42" s="286" t="s">
        <v>73</v>
      </c>
      <c r="AD42" s="317">
        <v>30</v>
      </c>
      <c r="AE42" s="313" t="str">
        <f t="shared" si="2"/>
        <v>○</v>
      </c>
      <c r="AF42" s="318" t="str">
        <f t="shared" si="3"/>
        <v>申請しない場合は入力不要です。</v>
      </c>
      <c r="AH42" s="318">
        <f t="shared" si="4"/>
        <v>0</v>
      </c>
    </row>
    <row r="43" spans="1:34" ht="20.100000000000001" customHeight="1" x14ac:dyDescent="0.4">
      <c r="A43" s="281">
        <v>31</v>
      </c>
      <c r="B43" s="361"/>
      <c r="C43" s="795"/>
      <c r="D43" s="796"/>
      <c r="E43" s="797"/>
      <c r="F43" s="362"/>
      <c r="G43" s="363"/>
      <c r="H43" s="364"/>
      <c r="I43" s="314">
        <f t="shared" si="0"/>
        <v>0</v>
      </c>
      <c r="J43" s="315">
        <f t="shared" si="1"/>
        <v>0</v>
      </c>
      <c r="K43" s="316" t="str">
        <f xml:space="preserve">
IF(AND(AE43="◎",OR(テーブル!$B$3="交付申請",テーブル!$B$3="交付申請（２次以降）",テーブル!$B$3="変更申請")),"－",
IF(AND(AE43&lt;&gt;"◎",OR(テーブル!$B$3="交付申請",テーブル!$B$3="交付申請（２次以降）",テーブル!$B$3="変更申請")),"",
IF(AND(テーブル!$B$3="実績報告",AE43="◎"),COUNTIF($AE$13:AE43,"◎"),"")))</f>
        <v/>
      </c>
      <c r="L43" s="316"/>
      <c r="AC43" s="286" t="s">
        <v>73</v>
      </c>
      <c r="AD43" s="317">
        <v>31</v>
      </c>
      <c r="AE43" s="313" t="str">
        <f t="shared" si="2"/>
        <v>○</v>
      </c>
      <c r="AF43" s="318" t="str">
        <f t="shared" si="3"/>
        <v>申請しない場合は入力不要です。</v>
      </c>
      <c r="AH43" s="318">
        <f t="shared" si="4"/>
        <v>0</v>
      </c>
    </row>
    <row r="44" spans="1:34" ht="20.100000000000001" customHeight="1" x14ac:dyDescent="0.4">
      <c r="A44" s="281">
        <v>32</v>
      </c>
      <c r="B44" s="361"/>
      <c r="C44" s="795"/>
      <c r="D44" s="796"/>
      <c r="E44" s="797"/>
      <c r="F44" s="362"/>
      <c r="G44" s="363"/>
      <c r="H44" s="364"/>
      <c r="I44" s="314">
        <f t="shared" si="0"/>
        <v>0</v>
      </c>
      <c r="J44" s="315">
        <f t="shared" si="1"/>
        <v>0</v>
      </c>
      <c r="K44" s="316" t="str">
        <f xml:space="preserve">
IF(AND(AE44="◎",OR(テーブル!$B$3="交付申請",テーブル!$B$3="交付申請（２次以降）",テーブル!$B$3="変更申請")),"－",
IF(AND(AE44&lt;&gt;"◎",OR(テーブル!$B$3="交付申請",テーブル!$B$3="交付申請（２次以降）",テーブル!$B$3="変更申請")),"",
IF(AND(テーブル!$B$3="実績報告",AE44="◎"),COUNTIF($AE$13:AE44,"◎"),"")))</f>
        <v/>
      </c>
      <c r="L44" s="316"/>
      <c r="AC44" s="286" t="s">
        <v>73</v>
      </c>
      <c r="AD44" s="317">
        <v>32</v>
      </c>
      <c r="AE44" s="313" t="str">
        <f t="shared" si="2"/>
        <v>○</v>
      </c>
      <c r="AF44" s="318" t="str">
        <f t="shared" si="3"/>
        <v>申請しない場合は入力不要です。</v>
      </c>
      <c r="AH44" s="318">
        <f t="shared" si="4"/>
        <v>0</v>
      </c>
    </row>
    <row r="45" spans="1:34" ht="20.100000000000001" customHeight="1" x14ac:dyDescent="0.4">
      <c r="A45" s="281">
        <v>33</v>
      </c>
      <c r="B45" s="361"/>
      <c r="C45" s="795"/>
      <c r="D45" s="796"/>
      <c r="E45" s="797"/>
      <c r="F45" s="362"/>
      <c r="G45" s="363"/>
      <c r="H45" s="364"/>
      <c r="I45" s="314">
        <f t="shared" si="0"/>
        <v>0</v>
      </c>
      <c r="J45" s="315">
        <f t="shared" si="1"/>
        <v>0</v>
      </c>
      <c r="K45" s="316" t="str">
        <f xml:space="preserve">
IF(AND(AE45="◎",OR(テーブル!$B$3="交付申請",テーブル!$B$3="交付申請（２次以降）",テーブル!$B$3="変更申請")),"－",
IF(AND(AE45&lt;&gt;"◎",OR(テーブル!$B$3="交付申請",テーブル!$B$3="交付申請（２次以降）",テーブル!$B$3="変更申請")),"",
IF(AND(テーブル!$B$3="実績報告",AE45="◎"),COUNTIF($AE$13:AE45,"◎"),"")))</f>
        <v/>
      </c>
      <c r="L45" s="316"/>
      <c r="AB45" s="286" t="str">
        <f>IF(C8=0,"×","○")</f>
        <v>×</v>
      </c>
      <c r="AC45" s="286" t="s">
        <v>73</v>
      </c>
      <c r="AD45" s="317">
        <v>33</v>
      </c>
      <c r="AE45" s="313" t="str">
        <f t="shared" si="2"/>
        <v>○</v>
      </c>
      <c r="AF45" s="318" t="str">
        <f t="shared" si="3"/>
        <v>申請しない場合は入力不要です。</v>
      </c>
      <c r="AH45" s="318">
        <f t="shared" si="4"/>
        <v>0</v>
      </c>
    </row>
    <row r="46" spans="1:34" ht="20.100000000000001" customHeight="1" x14ac:dyDescent="0.4">
      <c r="A46" s="281">
        <v>34</v>
      </c>
      <c r="B46" s="361"/>
      <c r="C46" s="795"/>
      <c r="D46" s="796"/>
      <c r="E46" s="797"/>
      <c r="F46" s="362"/>
      <c r="G46" s="363"/>
      <c r="H46" s="364"/>
      <c r="I46" s="314">
        <f t="shared" si="0"/>
        <v>0</v>
      </c>
      <c r="J46" s="315">
        <f t="shared" si="1"/>
        <v>0</v>
      </c>
      <c r="K46" s="316" t="str">
        <f xml:space="preserve">
IF(AND(AE46="◎",OR(テーブル!$B$3="交付申請",テーブル!$B$3="交付申請（２次以降）",テーブル!$B$3="変更申請")),"－",
IF(AND(AE46&lt;&gt;"◎",OR(テーブル!$B$3="交付申請",テーブル!$B$3="交付申請（２次以降）",テーブル!$B$3="変更申請")),"",
IF(AND(テーブル!$B$3="実績報告",AE46="◎"),COUNTIF($AE$13:AE46,"◎"),"")))</f>
        <v/>
      </c>
      <c r="L46" s="316"/>
      <c r="AC46" s="286" t="s">
        <v>73</v>
      </c>
      <c r="AD46" s="317">
        <v>34</v>
      </c>
      <c r="AE46" s="313" t="str">
        <f t="shared" si="2"/>
        <v>○</v>
      </c>
      <c r="AF46" s="318" t="str">
        <f t="shared" si="3"/>
        <v>申請しない場合は入力不要です。</v>
      </c>
      <c r="AH46" s="318">
        <f t="shared" si="4"/>
        <v>0</v>
      </c>
    </row>
    <row r="47" spans="1:34" ht="20.100000000000001" customHeight="1" x14ac:dyDescent="0.4">
      <c r="A47" s="281">
        <v>35</v>
      </c>
      <c r="B47" s="361"/>
      <c r="C47" s="795"/>
      <c r="D47" s="796"/>
      <c r="E47" s="797"/>
      <c r="F47" s="362"/>
      <c r="G47" s="363"/>
      <c r="H47" s="364"/>
      <c r="I47" s="314">
        <f t="shared" si="0"/>
        <v>0</v>
      </c>
      <c r="J47" s="315">
        <f t="shared" si="1"/>
        <v>0</v>
      </c>
      <c r="K47" s="316" t="str">
        <f xml:space="preserve">
IF(AND(AE47="◎",OR(テーブル!$B$3="交付申請",テーブル!$B$3="交付申請（２次以降）",テーブル!$B$3="変更申請")),"－",
IF(AND(AE47&lt;&gt;"◎",OR(テーブル!$B$3="交付申請",テーブル!$B$3="交付申請（２次以降）",テーブル!$B$3="変更申請")),"",
IF(AND(テーブル!$B$3="実績報告",AE47="◎"),COUNTIF($AE$13:AE47,"◎"),"")))</f>
        <v/>
      </c>
      <c r="L47" s="316"/>
      <c r="AC47" s="286" t="s">
        <v>73</v>
      </c>
      <c r="AD47" s="317">
        <v>35</v>
      </c>
      <c r="AE47" s="313" t="str">
        <f t="shared" si="2"/>
        <v>○</v>
      </c>
      <c r="AF47" s="318" t="str">
        <f t="shared" si="3"/>
        <v>申請しない場合は入力不要です。</v>
      </c>
      <c r="AH47" s="318">
        <f t="shared" si="4"/>
        <v>0</v>
      </c>
    </row>
    <row r="48" spans="1:34" ht="20.100000000000001" customHeight="1" x14ac:dyDescent="0.4">
      <c r="A48" s="281">
        <v>36</v>
      </c>
      <c r="B48" s="361"/>
      <c r="C48" s="795"/>
      <c r="D48" s="796"/>
      <c r="E48" s="797"/>
      <c r="F48" s="362"/>
      <c r="G48" s="363"/>
      <c r="H48" s="364"/>
      <c r="I48" s="314">
        <f t="shared" si="0"/>
        <v>0</v>
      </c>
      <c r="J48" s="315">
        <f t="shared" si="1"/>
        <v>0</v>
      </c>
      <c r="K48" s="316" t="str">
        <f xml:space="preserve">
IF(AND(AE48="◎",OR(テーブル!$B$3="交付申請",テーブル!$B$3="交付申請（２次以降）",テーブル!$B$3="変更申請")),"－",
IF(AND(AE48&lt;&gt;"◎",OR(テーブル!$B$3="交付申請",テーブル!$B$3="交付申請（２次以降）",テーブル!$B$3="変更申請")),"",
IF(AND(テーブル!$B$3="実績報告",AE48="◎"),COUNTIF($AE$13:AE48,"◎"),"")))</f>
        <v/>
      </c>
      <c r="L48" s="316"/>
      <c r="AC48" s="286" t="s">
        <v>73</v>
      </c>
      <c r="AD48" s="317">
        <v>36</v>
      </c>
      <c r="AE48" s="313" t="str">
        <f t="shared" si="2"/>
        <v>○</v>
      </c>
      <c r="AF48" s="318" t="str">
        <f t="shared" si="3"/>
        <v>申請しない場合は入力不要です。</v>
      </c>
      <c r="AH48" s="318">
        <f t="shared" si="4"/>
        <v>0</v>
      </c>
    </row>
    <row r="49" spans="1:34" ht="20.100000000000001" customHeight="1" x14ac:dyDescent="0.4">
      <c r="A49" s="281">
        <v>37</v>
      </c>
      <c r="B49" s="361"/>
      <c r="C49" s="795"/>
      <c r="D49" s="796"/>
      <c r="E49" s="797"/>
      <c r="F49" s="362"/>
      <c r="G49" s="363"/>
      <c r="H49" s="364"/>
      <c r="I49" s="314">
        <f t="shared" si="0"/>
        <v>0</v>
      </c>
      <c r="J49" s="315">
        <f t="shared" si="1"/>
        <v>0</v>
      </c>
      <c r="K49" s="316" t="str">
        <f xml:space="preserve">
IF(AND(AE49="◎",OR(テーブル!$B$3="交付申請",テーブル!$B$3="交付申請（２次以降）",テーブル!$B$3="変更申請")),"－",
IF(AND(AE49&lt;&gt;"◎",OR(テーブル!$B$3="交付申請",テーブル!$B$3="交付申請（２次以降）",テーブル!$B$3="変更申請")),"",
IF(AND(テーブル!$B$3="実績報告",AE49="◎"),COUNTIF($AE$13:AE49,"◎"),"")))</f>
        <v/>
      </c>
      <c r="L49" s="316"/>
      <c r="AC49" s="286" t="s">
        <v>73</v>
      </c>
      <c r="AD49" s="317">
        <v>37</v>
      </c>
      <c r="AE49" s="313" t="str">
        <f t="shared" si="2"/>
        <v>○</v>
      </c>
      <c r="AF49" s="318" t="str">
        <f t="shared" si="3"/>
        <v>申請しない場合は入力不要です。</v>
      </c>
      <c r="AH49" s="318">
        <f t="shared" si="4"/>
        <v>0</v>
      </c>
    </row>
    <row r="50" spans="1:34" ht="20.100000000000001" customHeight="1" x14ac:dyDescent="0.4">
      <c r="A50" s="281">
        <v>38</v>
      </c>
      <c r="B50" s="361"/>
      <c r="C50" s="795"/>
      <c r="D50" s="796"/>
      <c r="E50" s="797"/>
      <c r="F50" s="362"/>
      <c r="G50" s="363"/>
      <c r="H50" s="364"/>
      <c r="I50" s="314">
        <f t="shared" si="0"/>
        <v>0</v>
      </c>
      <c r="J50" s="315">
        <f t="shared" si="1"/>
        <v>0</v>
      </c>
      <c r="K50" s="316" t="str">
        <f xml:space="preserve">
IF(AND(AE50="◎",OR(テーブル!$B$3="交付申請",テーブル!$B$3="交付申請（２次以降）",テーブル!$B$3="変更申請")),"－",
IF(AND(AE50&lt;&gt;"◎",OR(テーブル!$B$3="交付申請",テーブル!$B$3="交付申請（２次以降）",テーブル!$B$3="変更申請")),"",
IF(AND(テーブル!$B$3="実績報告",AE50="◎"),COUNTIF($AE$13:AE50,"◎"),"")))</f>
        <v/>
      </c>
      <c r="L50" s="316"/>
      <c r="AC50" s="286" t="s">
        <v>73</v>
      </c>
      <c r="AD50" s="317">
        <v>38</v>
      </c>
      <c r="AE50" s="313" t="str">
        <f t="shared" si="2"/>
        <v>○</v>
      </c>
      <c r="AF50" s="318" t="str">
        <f t="shared" si="3"/>
        <v>申請しない場合は入力不要です。</v>
      </c>
      <c r="AH50" s="318">
        <f t="shared" si="4"/>
        <v>0</v>
      </c>
    </row>
    <row r="51" spans="1:34" ht="20.100000000000001" customHeight="1" x14ac:dyDescent="0.4">
      <c r="A51" s="281">
        <v>39</v>
      </c>
      <c r="B51" s="361"/>
      <c r="C51" s="795"/>
      <c r="D51" s="796"/>
      <c r="E51" s="797"/>
      <c r="F51" s="362"/>
      <c r="G51" s="363"/>
      <c r="H51" s="364"/>
      <c r="I51" s="314">
        <f t="shared" si="0"/>
        <v>0</v>
      </c>
      <c r="J51" s="315">
        <f t="shared" si="1"/>
        <v>0</v>
      </c>
      <c r="K51" s="316" t="str">
        <f xml:space="preserve">
IF(AND(AE51="◎",OR(テーブル!$B$3="交付申請",テーブル!$B$3="交付申請（２次以降）",テーブル!$B$3="変更申請")),"－",
IF(AND(AE51&lt;&gt;"◎",OR(テーブル!$B$3="交付申請",テーブル!$B$3="交付申請（２次以降）",テーブル!$B$3="変更申請")),"",
IF(AND(テーブル!$B$3="実績報告",AE51="◎"),COUNTIF($AE$13:AE51,"◎"),"")))</f>
        <v/>
      </c>
      <c r="L51" s="316"/>
      <c r="AC51" s="286" t="s">
        <v>73</v>
      </c>
      <c r="AD51" s="317">
        <v>39</v>
      </c>
      <c r="AE51" s="313" t="str">
        <f t="shared" si="2"/>
        <v>○</v>
      </c>
      <c r="AF51" s="318" t="str">
        <f t="shared" si="3"/>
        <v>申請しない場合は入力不要です。</v>
      </c>
      <c r="AH51" s="318">
        <f t="shared" si="4"/>
        <v>0</v>
      </c>
    </row>
    <row r="52" spans="1:34" ht="20.100000000000001" customHeight="1" x14ac:dyDescent="0.4">
      <c r="A52" s="281">
        <v>40</v>
      </c>
      <c r="B52" s="361"/>
      <c r="C52" s="795"/>
      <c r="D52" s="796"/>
      <c r="E52" s="797"/>
      <c r="F52" s="362"/>
      <c r="G52" s="363"/>
      <c r="H52" s="364"/>
      <c r="I52" s="314">
        <f t="shared" si="0"/>
        <v>0</v>
      </c>
      <c r="J52" s="315">
        <f t="shared" si="1"/>
        <v>0</v>
      </c>
      <c r="K52" s="316" t="str">
        <f xml:space="preserve">
IF(AND(AE52="◎",OR(テーブル!$B$3="交付申請",テーブル!$B$3="交付申請（２次以降）",テーブル!$B$3="変更申請")),"－",
IF(AND(AE52&lt;&gt;"◎",OR(テーブル!$B$3="交付申請",テーブル!$B$3="交付申請（２次以降）",テーブル!$B$3="変更申請")),"",
IF(AND(テーブル!$B$3="実績報告",AE52="◎"),COUNTIF($AE$13:AE52,"◎"),"")))</f>
        <v/>
      </c>
      <c r="L52" s="316"/>
      <c r="AC52" s="286" t="s">
        <v>73</v>
      </c>
      <c r="AD52" s="317">
        <v>40</v>
      </c>
      <c r="AE52" s="313" t="str">
        <f t="shared" si="2"/>
        <v>○</v>
      </c>
      <c r="AF52" s="318" t="str">
        <f t="shared" si="3"/>
        <v>申請しない場合は入力不要です。</v>
      </c>
      <c r="AH52" s="318">
        <f t="shared" si="4"/>
        <v>0</v>
      </c>
    </row>
    <row r="53" spans="1:34" ht="20.100000000000001" customHeight="1" x14ac:dyDescent="0.4">
      <c r="A53" s="281">
        <v>41</v>
      </c>
      <c r="B53" s="361"/>
      <c r="C53" s="795"/>
      <c r="D53" s="796"/>
      <c r="E53" s="797"/>
      <c r="F53" s="362"/>
      <c r="G53" s="363"/>
      <c r="H53" s="364"/>
      <c r="I53" s="314">
        <f t="shared" si="0"/>
        <v>0</v>
      </c>
      <c r="J53" s="315">
        <f t="shared" si="1"/>
        <v>0</v>
      </c>
      <c r="K53" s="316" t="str">
        <f xml:space="preserve">
IF(AND(AE53="◎",OR(テーブル!$B$3="交付申請",テーブル!$B$3="交付申請（２次以降）",テーブル!$B$3="変更申請")),"－",
IF(AND(AE53&lt;&gt;"◎",OR(テーブル!$B$3="交付申請",テーブル!$B$3="交付申請（２次以降）",テーブル!$B$3="変更申請")),"",
IF(AND(テーブル!$B$3="実績報告",AE53="◎"),COUNTIF($AE$13:AE53,"◎"),"")))</f>
        <v/>
      </c>
      <c r="L53" s="316"/>
      <c r="AC53" s="286" t="s">
        <v>73</v>
      </c>
      <c r="AD53" s="317">
        <v>41</v>
      </c>
      <c r="AE53" s="313" t="str">
        <f t="shared" si="2"/>
        <v>○</v>
      </c>
      <c r="AF53" s="318" t="str">
        <f t="shared" si="3"/>
        <v>申請しない場合は入力不要です。</v>
      </c>
      <c r="AH53" s="318">
        <f t="shared" si="4"/>
        <v>0</v>
      </c>
    </row>
    <row r="54" spans="1:34" ht="20.100000000000001" customHeight="1" x14ac:dyDescent="0.4">
      <c r="A54" s="281">
        <v>42</v>
      </c>
      <c r="B54" s="361"/>
      <c r="C54" s="795"/>
      <c r="D54" s="796"/>
      <c r="E54" s="797"/>
      <c r="F54" s="362"/>
      <c r="G54" s="363"/>
      <c r="H54" s="364"/>
      <c r="I54" s="314">
        <f t="shared" si="0"/>
        <v>0</v>
      </c>
      <c r="J54" s="315">
        <f t="shared" si="1"/>
        <v>0</v>
      </c>
      <c r="K54" s="316" t="str">
        <f xml:space="preserve">
IF(AND(AE54="◎",OR(テーブル!$B$3="交付申請",テーブル!$B$3="交付申請（２次以降）",テーブル!$B$3="変更申請")),"－",
IF(AND(AE54&lt;&gt;"◎",OR(テーブル!$B$3="交付申請",テーブル!$B$3="交付申請（２次以降）",テーブル!$B$3="変更申請")),"",
IF(AND(テーブル!$B$3="実績報告",AE54="◎"),COUNTIF($AE$13:AE54,"◎"),"")))</f>
        <v/>
      </c>
      <c r="L54" s="316"/>
      <c r="AC54" s="286" t="s">
        <v>73</v>
      </c>
      <c r="AD54" s="317">
        <v>42</v>
      </c>
      <c r="AE54" s="313" t="str">
        <f t="shared" si="2"/>
        <v>○</v>
      </c>
      <c r="AF54" s="318" t="str">
        <f t="shared" si="3"/>
        <v>申請しない場合は入力不要です。</v>
      </c>
      <c r="AH54" s="318">
        <f t="shared" si="4"/>
        <v>0</v>
      </c>
    </row>
    <row r="55" spans="1:34" ht="20.100000000000001" customHeight="1" x14ac:dyDescent="0.4">
      <c r="A55" s="281">
        <v>43</v>
      </c>
      <c r="B55" s="361"/>
      <c r="C55" s="795"/>
      <c r="D55" s="796"/>
      <c r="E55" s="797"/>
      <c r="F55" s="362"/>
      <c r="G55" s="363"/>
      <c r="H55" s="364"/>
      <c r="I55" s="314">
        <f t="shared" si="0"/>
        <v>0</v>
      </c>
      <c r="J55" s="315">
        <f t="shared" si="1"/>
        <v>0</v>
      </c>
      <c r="K55" s="316" t="str">
        <f xml:space="preserve">
IF(AND(AE55="◎",OR(テーブル!$B$3="交付申請",テーブル!$B$3="交付申請（２次以降）",テーブル!$B$3="変更申請")),"－",
IF(AND(AE55&lt;&gt;"◎",OR(テーブル!$B$3="交付申請",テーブル!$B$3="交付申請（２次以降）",テーブル!$B$3="変更申請")),"",
IF(AND(テーブル!$B$3="実績報告",AE55="◎"),COUNTIF($AE$13:AE55,"◎"),"")))</f>
        <v/>
      </c>
      <c r="L55" s="316"/>
      <c r="AC55" s="286" t="s">
        <v>73</v>
      </c>
      <c r="AD55" s="317">
        <v>43</v>
      </c>
      <c r="AE55" s="313" t="str">
        <f t="shared" si="2"/>
        <v>○</v>
      </c>
      <c r="AF55" s="318" t="str">
        <f t="shared" si="3"/>
        <v>申請しない場合は入力不要です。</v>
      </c>
      <c r="AH55" s="318">
        <f t="shared" si="4"/>
        <v>0</v>
      </c>
    </row>
    <row r="56" spans="1:34" ht="20.100000000000001" customHeight="1" x14ac:dyDescent="0.4">
      <c r="A56" s="281">
        <v>44</v>
      </c>
      <c r="B56" s="361"/>
      <c r="C56" s="795"/>
      <c r="D56" s="796"/>
      <c r="E56" s="797"/>
      <c r="F56" s="362"/>
      <c r="G56" s="363"/>
      <c r="H56" s="364"/>
      <c r="I56" s="314">
        <f t="shared" si="0"/>
        <v>0</v>
      </c>
      <c r="J56" s="315">
        <f t="shared" si="1"/>
        <v>0</v>
      </c>
      <c r="K56" s="316" t="str">
        <f xml:space="preserve">
IF(AND(AE56="◎",OR(テーブル!$B$3="交付申請",テーブル!$B$3="交付申請（２次以降）",テーブル!$B$3="変更申請")),"－",
IF(AND(AE56&lt;&gt;"◎",OR(テーブル!$B$3="交付申請",テーブル!$B$3="交付申請（２次以降）",テーブル!$B$3="変更申請")),"",
IF(AND(テーブル!$B$3="実績報告",AE56="◎"),COUNTIF($AE$13:AE56,"◎"),"")))</f>
        <v/>
      </c>
      <c r="L56" s="316"/>
      <c r="AC56" s="286" t="s">
        <v>73</v>
      </c>
      <c r="AD56" s="317">
        <v>44</v>
      </c>
      <c r="AE56" s="313" t="str">
        <f t="shared" si="2"/>
        <v>○</v>
      </c>
      <c r="AF56" s="318" t="str">
        <f t="shared" si="3"/>
        <v>申請しない場合は入力不要です。</v>
      </c>
      <c r="AH56" s="318">
        <f t="shared" si="4"/>
        <v>0</v>
      </c>
    </row>
    <row r="57" spans="1:34" ht="20.100000000000001" customHeight="1" x14ac:dyDescent="0.4">
      <c r="A57" s="281">
        <v>45</v>
      </c>
      <c r="B57" s="361"/>
      <c r="C57" s="795"/>
      <c r="D57" s="796"/>
      <c r="E57" s="797"/>
      <c r="F57" s="362"/>
      <c r="G57" s="363"/>
      <c r="H57" s="364"/>
      <c r="I57" s="314">
        <f t="shared" si="0"/>
        <v>0</v>
      </c>
      <c r="J57" s="315">
        <f t="shared" si="1"/>
        <v>0</v>
      </c>
      <c r="K57" s="316" t="str">
        <f xml:space="preserve">
IF(AND(AE57="◎",OR(テーブル!$B$3="交付申請",テーブル!$B$3="交付申請（２次以降）",テーブル!$B$3="変更申請")),"－",
IF(AND(AE57&lt;&gt;"◎",OR(テーブル!$B$3="交付申請",テーブル!$B$3="交付申請（２次以降）",テーブル!$B$3="変更申請")),"",
IF(AND(テーブル!$B$3="実績報告",AE57="◎"),COUNTIF($AE$13:AE57,"◎"),"")))</f>
        <v/>
      </c>
      <c r="L57" s="316"/>
      <c r="AC57" s="286" t="s">
        <v>73</v>
      </c>
      <c r="AD57" s="317">
        <v>45</v>
      </c>
      <c r="AE57" s="313" t="str">
        <f t="shared" si="2"/>
        <v>○</v>
      </c>
      <c r="AF57" s="318" t="str">
        <f t="shared" si="3"/>
        <v>申請しない場合は入力不要です。</v>
      </c>
      <c r="AH57" s="318">
        <f t="shared" si="4"/>
        <v>0</v>
      </c>
    </row>
    <row r="58" spans="1:34" ht="20.100000000000001" customHeight="1" x14ac:dyDescent="0.4">
      <c r="A58" s="281">
        <v>46</v>
      </c>
      <c r="B58" s="361"/>
      <c r="C58" s="795"/>
      <c r="D58" s="796"/>
      <c r="E58" s="797"/>
      <c r="F58" s="362"/>
      <c r="G58" s="363"/>
      <c r="H58" s="364"/>
      <c r="I58" s="314">
        <f t="shared" si="0"/>
        <v>0</v>
      </c>
      <c r="J58" s="315">
        <f t="shared" si="1"/>
        <v>0</v>
      </c>
      <c r="K58" s="316" t="str">
        <f xml:space="preserve">
IF(AND(AE58="◎",OR(テーブル!$B$3="交付申請",テーブル!$B$3="交付申請（２次以降）",テーブル!$B$3="変更申請")),"－",
IF(AND(AE58&lt;&gt;"◎",OR(テーブル!$B$3="交付申請",テーブル!$B$3="交付申請（２次以降）",テーブル!$B$3="変更申請")),"",
IF(AND(テーブル!$B$3="実績報告",AE58="◎"),COUNTIF($AE$13:AE58,"◎"),"")))</f>
        <v/>
      </c>
      <c r="L58" s="316"/>
      <c r="AC58" s="286" t="s">
        <v>73</v>
      </c>
      <c r="AD58" s="317">
        <v>46</v>
      </c>
      <c r="AE58" s="313" t="str">
        <f t="shared" si="2"/>
        <v>○</v>
      </c>
      <c r="AF58" s="318" t="str">
        <f t="shared" si="3"/>
        <v>申請しない場合は入力不要です。</v>
      </c>
      <c r="AH58" s="318">
        <f t="shared" si="4"/>
        <v>0</v>
      </c>
    </row>
    <row r="59" spans="1:34" ht="20.100000000000001" customHeight="1" x14ac:dyDescent="0.4">
      <c r="A59" s="281">
        <v>47</v>
      </c>
      <c r="B59" s="361"/>
      <c r="C59" s="795"/>
      <c r="D59" s="796"/>
      <c r="E59" s="797"/>
      <c r="F59" s="362"/>
      <c r="G59" s="363"/>
      <c r="H59" s="364"/>
      <c r="I59" s="314">
        <f t="shared" si="0"/>
        <v>0</v>
      </c>
      <c r="J59" s="315">
        <f t="shared" si="1"/>
        <v>0</v>
      </c>
      <c r="K59" s="316" t="str">
        <f xml:space="preserve">
IF(AND(AE59="◎",OR(テーブル!$B$3="交付申請",テーブル!$B$3="交付申請（２次以降）",テーブル!$B$3="変更申請")),"－",
IF(AND(AE59&lt;&gt;"◎",OR(テーブル!$B$3="交付申請",テーブル!$B$3="交付申請（２次以降）",テーブル!$B$3="変更申請")),"",
IF(AND(テーブル!$B$3="実績報告",AE59="◎"),COUNTIF($AE$13:AE59,"◎"),"")))</f>
        <v/>
      </c>
      <c r="L59" s="316"/>
      <c r="AC59" s="286" t="s">
        <v>73</v>
      </c>
      <c r="AD59" s="317">
        <v>47</v>
      </c>
      <c r="AE59" s="313" t="str">
        <f t="shared" si="2"/>
        <v>○</v>
      </c>
      <c r="AF59" s="318" t="str">
        <f t="shared" si="3"/>
        <v>申請しない場合は入力不要です。</v>
      </c>
      <c r="AH59" s="318">
        <f t="shared" si="4"/>
        <v>0</v>
      </c>
    </row>
    <row r="60" spans="1:34" ht="20.100000000000001" customHeight="1" x14ac:dyDescent="0.4">
      <c r="A60" s="281">
        <v>48</v>
      </c>
      <c r="B60" s="361"/>
      <c r="C60" s="795"/>
      <c r="D60" s="796"/>
      <c r="E60" s="797"/>
      <c r="F60" s="362"/>
      <c r="G60" s="363"/>
      <c r="H60" s="364"/>
      <c r="I60" s="314">
        <f t="shared" si="0"/>
        <v>0</v>
      </c>
      <c r="J60" s="315">
        <f t="shared" si="1"/>
        <v>0</v>
      </c>
      <c r="K60" s="316" t="str">
        <f xml:space="preserve">
IF(AND(AE60="◎",OR(テーブル!$B$3="交付申請",テーブル!$B$3="交付申請（２次以降）",テーブル!$B$3="変更申請")),"－",
IF(AND(AE60&lt;&gt;"◎",OR(テーブル!$B$3="交付申請",テーブル!$B$3="交付申請（２次以降）",テーブル!$B$3="変更申請")),"",
IF(AND(テーブル!$B$3="実績報告",AE60="◎"),COUNTIF($AE$13:AE60,"◎"),"")))</f>
        <v/>
      </c>
      <c r="L60" s="316"/>
      <c r="AC60" s="286" t="s">
        <v>73</v>
      </c>
      <c r="AD60" s="317">
        <v>48</v>
      </c>
      <c r="AE60" s="313" t="str">
        <f t="shared" si="2"/>
        <v>○</v>
      </c>
      <c r="AF60" s="318" t="str">
        <f t="shared" si="3"/>
        <v>申請しない場合は入力不要です。</v>
      </c>
      <c r="AH60" s="318">
        <f t="shared" si="4"/>
        <v>0</v>
      </c>
    </row>
    <row r="61" spans="1:34" ht="20.100000000000001" customHeight="1" x14ac:dyDescent="0.4">
      <c r="A61" s="281">
        <v>49</v>
      </c>
      <c r="B61" s="361"/>
      <c r="C61" s="795"/>
      <c r="D61" s="796"/>
      <c r="E61" s="797"/>
      <c r="F61" s="362"/>
      <c r="G61" s="363"/>
      <c r="H61" s="364"/>
      <c r="I61" s="314">
        <f t="shared" si="0"/>
        <v>0</v>
      </c>
      <c r="J61" s="315">
        <f t="shared" si="1"/>
        <v>0</v>
      </c>
      <c r="K61" s="316" t="str">
        <f xml:space="preserve">
IF(AND(AE61="◎",OR(テーブル!$B$3="交付申請",テーブル!$B$3="交付申請（２次以降）",テーブル!$B$3="変更申請")),"－",
IF(AND(AE61&lt;&gt;"◎",OR(テーブル!$B$3="交付申請",テーブル!$B$3="交付申請（２次以降）",テーブル!$B$3="変更申請")),"",
IF(AND(テーブル!$B$3="実績報告",AE61="◎"),COUNTIF($AE$13:AE61,"◎"),"")))</f>
        <v/>
      </c>
      <c r="L61" s="316"/>
      <c r="AC61" s="286" t="s">
        <v>73</v>
      </c>
      <c r="AD61" s="317">
        <v>49</v>
      </c>
      <c r="AE61" s="313" t="str">
        <f t="shared" si="2"/>
        <v>○</v>
      </c>
      <c r="AF61" s="318" t="str">
        <f t="shared" si="3"/>
        <v>申請しない場合は入力不要です。</v>
      </c>
      <c r="AH61" s="318">
        <f t="shared" si="4"/>
        <v>0</v>
      </c>
    </row>
    <row r="62" spans="1:34" ht="20.100000000000001" customHeight="1" x14ac:dyDescent="0.4">
      <c r="A62" s="281">
        <v>50</v>
      </c>
      <c r="B62" s="361"/>
      <c r="C62" s="795"/>
      <c r="D62" s="796"/>
      <c r="E62" s="797"/>
      <c r="F62" s="362"/>
      <c r="G62" s="363"/>
      <c r="H62" s="364"/>
      <c r="I62" s="314">
        <f t="shared" si="0"/>
        <v>0</v>
      </c>
      <c r="J62" s="315">
        <f t="shared" si="1"/>
        <v>0</v>
      </c>
      <c r="K62" s="316" t="str">
        <f xml:space="preserve">
IF(AND(AE62="◎",OR(テーブル!$B$3="交付申請",テーブル!$B$3="交付申請（２次以降）",テーブル!$B$3="変更申請")),"－",
IF(AND(AE62&lt;&gt;"◎",OR(テーブル!$B$3="交付申請",テーブル!$B$3="交付申請（２次以降）",テーブル!$B$3="変更申請")),"",
IF(AND(テーブル!$B$3="実績報告",AE62="◎"),COUNTIF($AE$13:AE62,"◎"),"")))</f>
        <v/>
      </c>
      <c r="L62" s="316"/>
      <c r="AC62" s="286" t="s">
        <v>73</v>
      </c>
      <c r="AD62" s="317">
        <v>50</v>
      </c>
      <c r="AE62" s="313" t="str">
        <f t="shared" si="2"/>
        <v>○</v>
      </c>
      <c r="AF62" s="318" t="str">
        <f t="shared" si="3"/>
        <v>申請しない場合は入力不要です。</v>
      </c>
      <c r="AH62" s="318">
        <f t="shared" si="4"/>
        <v>0</v>
      </c>
    </row>
    <row r="63" spans="1:34" ht="20.100000000000001" customHeight="1" x14ac:dyDescent="0.4">
      <c r="A63" s="281">
        <v>51</v>
      </c>
      <c r="B63" s="361"/>
      <c r="C63" s="795"/>
      <c r="D63" s="796"/>
      <c r="E63" s="797"/>
      <c r="F63" s="362"/>
      <c r="G63" s="363"/>
      <c r="H63" s="364"/>
      <c r="I63" s="314">
        <f t="shared" si="0"/>
        <v>0</v>
      </c>
      <c r="J63" s="315">
        <f t="shared" si="1"/>
        <v>0</v>
      </c>
      <c r="K63" s="316" t="str">
        <f xml:space="preserve">
IF(AND(AE63="◎",OR(テーブル!$B$3="交付申請",テーブル!$B$3="交付申請（２次以降）",テーブル!$B$3="変更申請")),"－",
IF(AND(AE63&lt;&gt;"◎",OR(テーブル!$B$3="交付申請",テーブル!$B$3="交付申請（２次以降）",テーブル!$B$3="変更申請")),"",
IF(AND(テーブル!$B$3="実績報告",AE63="◎"),COUNTIF($AE$13:AE63,"◎"),"")))</f>
        <v/>
      </c>
      <c r="L63" s="316"/>
      <c r="AC63" s="286" t="s">
        <v>73</v>
      </c>
      <c r="AD63" s="317">
        <v>51</v>
      </c>
      <c r="AE63" s="313" t="str">
        <f t="shared" si="2"/>
        <v>○</v>
      </c>
      <c r="AF63" s="318" t="str">
        <f t="shared" si="3"/>
        <v>申請しない場合は入力不要です。</v>
      </c>
      <c r="AH63" s="318">
        <f t="shared" si="4"/>
        <v>0</v>
      </c>
    </row>
    <row r="64" spans="1:34" ht="20.100000000000001" customHeight="1" x14ac:dyDescent="0.4">
      <c r="A64" s="281">
        <v>52</v>
      </c>
      <c r="B64" s="361"/>
      <c r="C64" s="795"/>
      <c r="D64" s="796"/>
      <c r="E64" s="797"/>
      <c r="F64" s="362"/>
      <c r="G64" s="363"/>
      <c r="H64" s="364"/>
      <c r="I64" s="314">
        <f t="shared" si="0"/>
        <v>0</v>
      </c>
      <c r="J64" s="315">
        <f t="shared" si="1"/>
        <v>0</v>
      </c>
      <c r="K64" s="316" t="str">
        <f xml:space="preserve">
IF(AND(AE64="◎",OR(テーブル!$B$3="交付申請",テーブル!$B$3="交付申請（２次以降）",テーブル!$B$3="変更申請")),"－",
IF(AND(AE64&lt;&gt;"◎",OR(テーブル!$B$3="交付申請",テーブル!$B$3="交付申請（２次以降）",テーブル!$B$3="変更申請")),"",
IF(AND(テーブル!$B$3="実績報告",AE64="◎"),COUNTIF($AE$13:AE64,"◎"),"")))</f>
        <v/>
      </c>
      <c r="L64" s="316"/>
      <c r="AC64" s="286" t="s">
        <v>73</v>
      </c>
      <c r="AD64" s="317">
        <v>52</v>
      </c>
      <c r="AE64" s="313" t="str">
        <f t="shared" si="2"/>
        <v>○</v>
      </c>
      <c r="AF64" s="318" t="str">
        <f t="shared" si="3"/>
        <v>申請しない場合は入力不要です。</v>
      </c>
      <c r="AH64" s="318">
        <f t="shared" si="4"/>
        <v>0</v>
      </c>
    </row>
    <row r="65" spans="1:34" ht="20.100000000000001" customHeight="1" x14ac:dyDescent="0.4">
      <c r="A65" s="281">
        <v>53</v>
      </c>
      <c r="B65" s="361"/>
      <c r="C65" s="795"/>
      <c r="D65" s="796"/>
      <c r="E65" s="797"/>
      <c r="F65" s="362"/>
      <c r="G65" s="363"/>
      <c r="H65" s="364"/>
      <c r="I65" s="314">
        <f t="shared" si="0"/>
        <v>0</v>
      </c>
      <c r="J65" s="315">
        <f t="shared" si="1"/>
        <v>0</v>
      </c>
      <c r="K65" s="316" t="str">
        <f xml:space="preserve">
IF(AND(AE65="◎",OR(テーブル!$B$3="交付申請",テーブル!$B$3="交付申請（２次以降）",テーブル!$B$3="変更申請")),"－",
IF(AND(AE65&lt;&gt;"◎",OR(テーブル!$B$3="交付申請",テーブル!$B$3="交付申請（２次以降）",テーブル!$B$3="変更申請")),"",
IF(AND(テーブル!$B$3="実績報告",AE65="◎"),COUNTIF($AE$13:AE65,"◎"),"")))</f>
        <v/>
      </c>
      <c r="L65" s="316"/>
      <c r="AC65" s="286" t="s">
        <v>73</v>
      </c>
      <c r="AD65" s="317">
        <v>53</v>
      </c>
      <c r="AE65" s="313" t="str">
        <f t="shared" si="2"/>
        <v>○</v>
      </c>
      <c r="AF65" s="318" t="str">
        <f t="shared" si="3"/>
        <v>申請しない場合は入力不要です。</v>
      </c>
      <c r="AH65" s="318">
        <f t="shared" si="4"/>
        <v>0</v>
      </c>
    </row>
    <row r="66" spans="1:34" ht="20.100000000000001" customHeight="1" x14ac:dyDescent="0.4">
      <c r="A66" s="281">
        <v>54</v>
      </c>
      <c r="B66" s="361"/>
      <c r="C66" s="795"/>
      <c r="D66" s="796"/>
      <c r="E66" s="797"/>
      <c r="F66" s="362"/>
      <c r="G66" s="363"/>
      <c r="H66" s="364"/>
      <c r="I66" s="314">
        <f t="shared" si="0"/>
        <v>0</v>
      </c>
      <c r="J66" s="315">
        <f t="shared" si="1"/>
        <v>0</v>
      </c>
      <c r="K66" s="316" t="str">
        <f xml:space="preserve">
IF(AND(AE66="◎",OR(テーブル!$B$3="交付申請",テーブル!$B$3="交付申請（２次以降）",テーブル!$B$3="変更申請")),"－",
IF(AND(AE66&lt;&gt;"◎",OR(テーブル!$B$3="交付申請",テーブル!$B$3="交付申請（２次以降）",テーブル!$B$3="変更申請")),"",
IF(AND(テーブル!$B$3="実績報告",AE66="◎"),COUNTIF($AE$13:AE66,"◎"),"")))</f>
        <v/>
      </c>
      <c r="L66" s="316"/>
      <c r="AC66" s="286" t="s">
        <v>73</v>
      </c>
      <c r="AD66" s="317">
        <v>54</v>
      </c>
      <c r="AE66" s="313" t="str">
        <f t="shared" si="2"/>
        <v>○</v>
      </c>
      <c r="AF66" s="318" t="str">
        <f t="shared" si="3"/>
        <v>申請しない場合は入力不要です。</v>
      </c>
      <c r="AH66" s="318">
        <f t="shared" si="4"/>
        <v>0</v>
      </c>
    </row>
    <row r="67" spans="1:34" ht="20.100000000000001" customHeight="1" x14ac:dyDescent="0.4">
      <c r="A67" s="281">
        <v>55</v>
      </c>
      <c r="B67" s="361"/>
      <c r="C67" s="795"/>
      <c r="D67" s="796"/>
      <c r="E67" s="797"/>
      <c r="F67" s="362"/>
      <c r="G67" s="363"/>
      <c r="H67" s="364"/>
      <c r="I67" s="314">
        <f t="shared" si="0"/>
        <v>0</v>
      </c>
      <c r="J67" s="315">
        <f t="shared" si="1"/>
        <v>0</v>
      </c>
      <c r="K67" s="316" t="str">
        <f xml:space="preserve">
IF(AND(AE67="◎",OR(テーブル!$B$3="交付申請",テーブル!$B$3="交付申請（２次以降）",テーブル!$B$3="変更申請")),"－",
IF(AND(AE67&lt;&gt;"◎",OR(テーブル!$B$3="交付申請",テーブル!$B$3="交付申請（２次以降）",テーブル!$B$3="変更申請")),"",
IF(AND(テーブル!$B$3="実績報告",AE67="◎"),COUNTIF($AE$13:AE67,"◎"),"")))</f>
        <v/>
      </c>
      <c r="L67" s="316"/>
      <c r="AC67" s="286" t="s">
        <v>73</v>
      </c>
      <c r="AD67" s="317">
        <v>55</v>
      </c>
      <c r="AE67" s="313" t="str">
        <f t="shared" si="2"/>
        <v>○</v>
      </c>
      <c r="AF67" s="318" t="str">
        <f t="shared" si="3"/>
        <v>申請しない場合は入力不要です。</v>
      </c>
      <c r="AH67" s="318">
        <f t="shared" si="4"/>
        <v>0</v>
      </c>
    </row>
    <row r="68" spans="1:34" ht="20.100000000000001" customHeight="1" x14ac:dyDescent="0.4">
      <c r="A68" s="281">
        <v>56</v>
      </c>
      <c r="B68" s="361"/>
      <c r="C68" s="795"/>
      <c r="D68" s="796"/>
      <c r="E68" s="797"/>
      <c r="F68" s="362"/>
      <c r="G68" s="363"/>
      <c r="H68" s="364"/>
      <c r="I68" s="314">
        <f t="shared" si="0"/>
        <v>0</v>
      </c>
      <c r="J68" s="315">
        <f t="shared" si="1"/>
        <v>0</v>
      </c>
      <c r="K68" s="316" t="str">
        <f xml:space="preserve">
IF(AND(AE68="◎",OR(テーブル!$B$3="交付申請",テーブル!$B$3="交付申請（２次以降）",テーブル!$B$3="変更申請")),"－",
IF(AND(AE68&lt;&gt;"◎",OR(テーブル!$B$3="交付申請",テーブル!$B$3="交付申請（２次以降）",テーブル!$B$3="変更申請")),"",
IF(AND(テーブル!$B$3="実績報告",AE68="◎"),COUNTIF($AE$13:AE68,"◎"),"")))</f>
        <v/>
      </c>
      <c r="L68" s="316"/>
      <c r="AC68" s="286" t="s">
        <v>73</v>
      </c>
      <c r="AD68" s="317">
        <v>56</v>
      </c>
      <c r="AE68" s="313" t="str">
        <f t="shared" si="2"/>
        <v>○</v>
      </c>
      <c r="AF68" s="318" t="str">
        <f t="shared" si="3"/>
        <v>申請しない場合は入力不要です。</v>
      </c>
      <c r="AH68" s="318">
        <f t="shared" si="4"/>
        <v>0</v>
      </c>
    </row>
    <row r="69" spans="1:34" ht="20.100000000000001" customHeight="1" x14ac:dyDescent="0.4">
      <c r="A69" s="281">
        <v>57</v>
      </c>
      <c r="B69" s="361"/>
      <c r="C69" s="795"/>
      <c r="D69" s="796"/>
      <c r="E69" s="797"/>
      <c r="F69" s="362"/>
      <c r="G69" s="363"/>
      <c r="H69" s="364"/>
      <c r="I69" s="314">
        <f t="shared" si="0"/>
        <v>0</v>
      </c>
      <c r="J69" s="315">
        <f t="shared" si="1"/>
        <v>0</v>
      </c>
      <c r="K69" s="316" t="str">
        <f xml:space="preserve">
IF(AND(AE69="◎",OR(テーブル!$B$3="交付申請",テーブル!$B$3="交付申請（２次以降）",テーブル!$B$3="変更申請")),"－",
IF(AND(AE69&lt;&gt;"◎",OR(テーブル!$B$3="交付申請",テーブル!$B$3="交付申請（２次以降）",テーブル!$B$3="変更申請")),"",
IF(AND(テーブル!$B$3="実績報告",AE69="◎"),COUNTIF($AE$13:AE69,"◎"),"")))</f>
        <v/>
      </c>
      <c r="L69" s="316"/>
      <c r="AC69" s="286" t="s">
        <v>73</v>
      </c>
      <c r="AD69" s="317">
        <v>57</v>
      </c>
      <c r="AE69" s="313" t="str">
        <f t="shared" si="2"/>
        <v>○</v>
      </c>
      <c r="AF69" s="318" t="str">
        <f t="shared" si="3"/>
        <v>申請しない場合は入力不要です。</v>
      </c>
      <c r="AH69" s="318">
        <f t="shared" si="4"/>
        <v>0</v>
      </c>
    </row>
    <row r="70" spans="1:34" ht="20.100000000000001" customHeight="1" x14ac:dyDescent="0.4">
      <c r="A70" s="281">
        <v>58</v>
      </c>
      <c r="B70" s="361"/>
      <c r="C70" s="795"/>
      <c r="D70" s="796"/>
      <c r="E70" s="797"/>
      <c r="F70" s="362"/>
      <c r="G70" s="363"/>
      <c r="H70" s="364"/>
      <c r="I70" s="314">
        <f t="shared" si="0"/>
        <v>0</v>
      </c>
      <c r="J70" s="315">
        <f t="shared" si="1"/>
        <v>0</v>
      </c>
      <c r="K70" s="316" t="str">
        <f xml:space="preserve">
IF(AND(AE70="◎",OR(テーブル!$B$3="交付申請",テーブル!$B$3="交付申請（２次以降）",テーブル!$B$3="変更申請")),"－",
IF(AND(AE70&lt;&gt;"◎",OR(テーブル!$B$3="交付申請",テーブル!$B$3="交付申請（２次以降）",テーブル!$B$3="変更申請")),"",
IF(AND(テーブル!$B$3="実績報告",AE70="◎"),COUNTIF($AE$13:AE70,"◎"),"")))</f>
        <v/>
      </c>
      <c r="L70" s="316"/>
      <c r="AC70" s="286" t="s">
        <v>73</v>
      </c>
      <c r="AD70" s="317">
        <v>58</v>
      </c>
      <c r="AE70" s="313" t="str">
        <f t="shared" si="2"/>
        <v>○</v>
      </c>
      <c r="AF70" s="318" t="str">
        <f t="shared" si="3"/>
        <v>申請しない場合は入力不要です。</v>
      </c>
      <c r="AH70" s="318">
        <f t="shared" si="4"/>
        <v>0</v>
      </c>
    </row>
    <row r="71" spans="1:34" ht="20.100000000000001" customHeight="1" x14ac:dyDescent="0.4">
      <c r="A71" s="281">
        <v>59</v>
      </c>
      <c r="B71" s="361"/>
      <c r="C71" s="795"/>
      <c r="D71" s="796"/>
      <c r="E71" s="797"/>
      <c r="F71" s="362"/>
      <c r="G71" s="363"/>
      <c r="H71" s="364"/>
      <c r="I71" s="314">
        <f t="shared" si="0"/>
        <v>0</v>
      </c>
      <c r="J71" s="315">
        <f t="shared" si="1"/>
        <v>0</v>
      </c>
      <c r="K71" s="316" t="str">
        <f xml:space="preserve">
IF(AND(AE71="◎",OR(テーブル!$B$3="交付申請",テーブル!$B$3="交付申請（２次以降）",テーブル!$B$3="変更申請")),"－",
IF(AND(AE71&lt;&gt;"◎",OR(テーブル!$B$3="交付申請",テーブル!$B$3="交付申請（２次以降）",テーブル!$B$3="変更申請")),"",
IF(AND(テーブル!$B$3="実績報告",AE71="◎"),COUNTIF($AE$13:AE71,"◎"),"")))</f>
        <v/>
      </c>
      <c r="L71" s="316"/>
      <c r="AC71" s="286" t="s">
        <v>73</v>
      </c>
      <c r="AD71" s="317">
        <v>59</v>
      </c>
      <c r="AE71" s="313" t="str">
        <f t="shared" si="2"/>
        <v>○</v>
      </c>
      <c r="AF71" s="318" t="str">
        <f t="shared" si="3"/>
        <v>申請しない場合は入力不要です。</v>
      </c>
      <c r="AH71" s="318">
        <f t="shared" si="4"/>
        <v>0</v>
      </c>
    </row>
    <row r="72" spans="1:34" ht="20.100000000000001" customHeight="1" x14ac:dyDescent="0.4">
      <c r="A72" s="281">
        <v>60</v>
      </c>
      <c r="B72" s="361"/>
      <c r="C72" s="795"/>
      <c r="D72" s="796"/>
      <c r="E72" s="797"/>
      <c r="F72" s="362"/>
      <c r="G72" s="363"/>
      <c r="H72" s="364"/>
      <c r="I72" s="314">
        <f t="shared" si="0"/>
        <v>0</v>
      </c>
      <c r="J72" s="315">
        <f t="shared" si="1"/>
        <v>0</v>
      </c>
      <c r="K72" s="316" t="str">
        <f xml:space="preserve">
IF(AND(AE72="◎",OR(テーブル!$B$3="交付申請",テーブル!$B$3="交付申請（２次以降）",テーブル!$B$3="変更申請")),"－",
IF(AND(AE72&lt;&gt;"◎",OR(テーブル!$B$3="交付申請",テーブル!$B$3="交付申請（２次以降）",テーブル!$B$3="変更申請")),"",
IF(AND(テーブル!$B$3="実績報告",AE72="◎"),COUNTIF($AE$13:AE72,"◎"),"")))</f>
        <v/>
      </c>
      <c r="L72" s="316"/>
      <c r="AC72" s="286" t="s">
        <v>73</v>
      </c>
      <c r="AD72" s="317">
        <v>60</v>
      </c>
      <c r="AE72" s="313" t="str">
        <f t="shared" si="2"/>
        <v>○</v>
      </c>
      <c r="AF72" s="318" t="str">
        <f t="shared" si="3"/>
        <v>申請しない場合は入力不要です。</v>
      </c>
      <c r="AH72" s="318">
        <f t="shared" si="4"/>
        <v>0</v>
      </c>
    </row>
    <row r="73" spans="1:34" ht="20.100000000000001" customHeight="1" x14ac:dyDescent="0.4">
      <c r="A73" s="281">
        <v>61</v>
      </c>
      <c r="B73" s="361"/>
      <c r="C73" s="795"/>
      <c r="D73" s="796"/>
      <c r="E73" s="797"/>
      <c r="F73" s="362"/>
      <c r="G73" s="363"/>
      <c r="H73" s="364"/>
      <c r="I73" s="314">
        <f t="shared" si="0"/>
        <v>0</v>
      </c>
      <c r="J73" s="315">
        <f t="shared" si="1"/>
        <v>0</v>
      </c>
      <c r="K73" s="316" t="str">
        <f xml:space="preserve">
IF(AND(AE73="◎",OR(テーブル!$B$3="交付申請",テーブル!$B$3="交付申請（２次以降）",テーブル!$B$3="変更申請")),"－",
IF(AND(AE73&lt;&gt;"◎",OR(テーブル!$B$3="交付申請",テーブル!$B$3="交付申請（２次以降）",テーブル!$B$3="変更申請")),"",
IF(AND(テーブル!$B$3="実績報告",AE73="◎"),COUNTIF($AE$13:AE73,"◎"),"")))</f>
        <v/>
      </c>
      <c r="L73" s="316"/>
      <c r="AC73" s="286" t="s">
        <v>73</v>
      </c>
      <c r="AD73" s="317">
        <v>61</v>
      </c>
      <c r="AE73" s="313" t="str">
        <f t="shared" si="2"/>
        <v>○</v>
      </c>
      <c r="AF73" s="318" t="str">
        <f t="shared" si="3"/>
        <v>申請しない場合は入力不要です。</v>
      </c>
      <c r="AH73" s="318">
        <f t="shared" si="4"/>
        <v>0</v>
      </c>
    </row>
    <row r="74" spans="1:34" ht="20.100000000000001" customHeight="1" x14ac:dyDescent="0.4">
      <c r="A74" s="281">
        <v>62</v>
      </c>
      <c r="B74" s="361"/>
      <c r="C74" s="795"/>
      <c r="D74" s="796"/>
      <c r="E74" s="797"/>
      <c r="F74" s="362"/>
      <c r="G74" s="363"/>
      <c r="H74" s="364"/>
      <c r="I74" s="314">
        <f t="shared" si="0"/>
        <v>0</v>
      </c>
      <c r="J74" s="315">
        <f t="shared" si="1"/>
        <v>0</v>
      </c>
      <c r="K74" s="316" t="str">
        <f xml:space="preserve">
IF(AND(AE74="◎",OR(テーブル!$B$3="交付申請",テーブル!$B$3="交付申請（２次以降）",テーブル!$B$3="変更申請")),"－",
IF(AND(AE74&lt;&gt;"◎",OR(テーブル!$B$3="交付申請",テーブル!$B$3="交付申請（２次以降）",テーブル!$B$3="変更申請")),"",
IF(AND(テーブル!$B$3="実績報告",AE74="◎"),COUNTIF($AE$13:AE74,"◎"),"")))</f>
        <v/>
      </c>
      <c r="L74" s="316"/>
      <c r="AC74" s="286" t="s">
        <v>73</v>
      </c>
      <c r="AD74" s="317">
        <v>62</v>
      </c>
      <c r="AE74" s="313" t="str">
        <f t="shared" si="2"/>
        <v>○</v>
      </c>
      <c r="AF74" s="318" t="str">
        <f t="shared" si="3"/>
        <v>申請しない場合は入力不要です。</v>
      </c>
      <c r="AH74" s="318">
        <f t="shared" si="4"/>
        <v>0</v>
      </c>
    </row>
    <row r="75" spans="1:34" ht="20.100000000000001" customHeight="1" x14ac:dyDescent="0.4">
      <c r="A75" s="281">
        <v>63</v>
      </c>
      <c r="B75" s="361"/>
      <c r="C75" s="795"/>
      <c r="D75" s="796"/>
      <c r="E75" s="797"/>
      <c r="F75" s="362"/>
      <c r="G75" s="363"/>
      <c r="H75" s="364"/>
      <c r="I75" s="314">
        <f t="shared" si="0"/>
        <v>0</v>
      </c>
      <c r="J75" s="315">
        <f t="shared" si="1"/>
        <v>0</v>
      </c>
      <c r="K75" s="316" t="str">
        <f xml:space="preserve">
IF(AND(AE75="◎",OR(テーブル!$B$3="交付申請",テーブル!$B$3="交付申請（２次以降）",テーブル!$B$3="変更申請")),"－",
IF(AND(AE75&lt;&gt;"◎",OR(テーブル!$B$3="交付申請",テーブル!$B$3="交付申請（２次以降）",テーブル!$B$3="変更申請")),"",
IF(AND(テーブル!$B$3="実績報告",AE75="◎"),COUNTIF($AE$13:AE75,"◎"),"")))</f>
        <v/>
      </c>
      <c r="L75" s="316"/>
      <c r="AC75" s="286" t="s">
        <v>73</v>
      </c>
      <c r="AD75" s="317">
        <v>63</v>
      </c>
      <c r="AE75" s="313" t="str">
        <f t="shared" si="2"/>
        <v>○</v>
      </c>
      <c r="AF75" s="318" t="str">
        <f t="shared" si="3"/>
        <v>申請しない場合は入力不要です。</v>
      </c>
      <c r="AH75" s="318">
        <f t="shared" si="4"/>
        <v>0</v>
      </c>
    </row>
    <row r="76" spans="1:34" ht="20.100000000000001" customHeight="1" x14ac:dyDescent="0.4">
      <c r="A76" s="281">
        <v>64</v>
      </c>
      <c r="B76" s="361"/>
      <c r="C76" s="795"/>
      <c r="D76" s="796"/>
      <c r="E76" s="797"/>
      <c r="F76" s="362"/>
      <c r="G76" s="363"/>
      <c r="H76" s="364"/>
      <c r="I76" s="314">
        <f t="shared" si="0"/>
        <v>0</v>
      </c>
      <c r="J76" s="315">
        <f t="shared" si="1"/>
        <v>0</v>
      </c>
      <c r="K76" s="316" t="str">
        <f xml:space="preserve">
IF(AND(AE76="◎",OR(テーブル!$B$3="交付申請",テーブル!$B$3="交付申請（２次以降）",テーブル!$B$3="変更申請")),"－",
IF(AND(AE76&lt;&gt;"◎",OR(テーブル!$B$3="交付申請",テーブル!$B$3="交付申請（２次以降）",テーブル!$B$3="変更申請")),"",
IF(AND(テーブル!$B$3="実績報告",AE76="◎"),COUNTIF($AE$13:AE76,"◎"),"")))</f>
        <v/>
      </c>
      <c r="L76" s="316"/>
      <c r="AC76" s="286" t="s">
        <v>73</v>
      </c>
      <c r="AD76" s="317">
        <v>64</v>
      </c>
      <c r="AE76" s="313" t="str">
        <f t="shared" si="2"/>
        <v>○</v>
      </c>
      <c r="AF76" s="318" t="str">
        <f t="shared" si="3"/>
        <v>申請しない場合は入力不要です。</v>
      </c>
      <c r="AH76" s="318">
        <f t="shared" si="4"/>
        <v>0</v>
      </c>
    </row>
    <row r="77" spans="1:34" ht="20.100000000000001" customHeight="1" x14ac:dyDescent="0.4">
      <c r="A77" s="281">
        <v>65</v>
      </c>
      <c r="B77" s="361"/>
      <c r="C77" s="795"/>
      <c r="D77" s="796"/>
      <c r="E77" s="797"/>
      <c r="F77" s="362"/>
      <c r="G77" s="363"/>
      <c r="H77" s="364"/>
      <c r="I77" s="314">
        <f t="shared" si="0"/>
        <v>0</v>
      </c>
      <c r="J77" s="315">
        <f t="shared" si="1"/>
        <v>0</v>
      </c>
      <c r="K77" s="316" t="str">
        <f xml:space="preserve">
IF(AND(AE77="◎",OR(テーブル!$B$3="交付申請",テーブル!$B$3="交付申請（２次以降）",テーブル!$B$3="変更申請")),"－",
IF(AND(AE77&lt;&gt;"◎",OR(テーブル!$B$3="交付申請",テーブル!$B$3="交付申請（２次以降）",テーブル!$B$3="変更申請")),"",
IF(AND(テーブル!$B$3="実績報告",AE77="◎"),COUNTIF($AE$13:AE77,"◎"),"")))</f>
        <v/>
      </c>
      <c r="L77" s="316"/>
      <c r="AC77" s="286" t="s">
        <v>73</v>
      </c>
      <c r="AD77" s="317">
        <v>65</v>
      </c>
      <c r="AE77" s="313" t="str">
        <f t="shared" si="2"/>
        <v>○</v>
      </c>
      <c r="AF77" s="318" t="str">
        <f t="shared" si="3"/>
        <v>申請しない場合は入力不要です。</v>
      </c>
      <c r="AH77" s="318">
        <f t="shared" si="4"/>
        <v>0</v>
      </c>
    </row>
    <row r="78" spans="1:34" ht="20.100000000000001" customHeight="1" x14ac:dyDescent="0.4">
      <c r="A78" s="281">
        <v>66</v>
      </c>
      <c r="B78" s="361"/>
      <c r="C78" s="795"/>
      <c r="D78" s="796"/>
      <c r="E78" s="797"/>
      <c r="F78" s="362"/>
      <c r="G78" s="363"/>
      <c r="H78" s="364"/>
      <c r="I78" s="314">
        <f t="shared" ref="I78:I112" si="5">ROUNDDOWN(H78*1.1,0)</f>
        <v>0</v>
      </c>
      <c r="J78" s="315">
        <f t="shared" ref="J78:J112" si="6">ROUNDDOWN(G78*I78,0)</f>
        <v>0</v>
      </c>
      <c r="K78" s="316" t="str">
        <f xml:space="preserve">
IF(AND(AE78="◎",OR(テーブル!$B$3="交付申請",テーブル!$B$3="交付申請（２次以降）",テーブル!$B$3="変更申請")),"－",
IF(AND(AE78&lt;&gt;"◎",OR(テーブル!$B$3="交付申請",テーブル!$B$3="交付申請（２次以降）",テーブル!$B$3="変更申請")),"",
IF(AND(テーブル!$B$3="実績報告",AE78="◎"),COUNTIF($AE$13:AE78,"◎"),"")))</f>
        <v/>
      </c>
      <c r="L78" s="316"/>
      <c r="AC78" s="286" t="s">
        <v>73</v>
      </c>
      <c r="AD78" s="317">
        <v>66</v>
      </c>
      <c r="AE78" s="313" t="str">
        <f t="shared" ref="AE78:AE112" si="7" xml:space="preserve">
IF(COUNTA(B78:H78)=0,"○",
IF(AND(COUNTA(B78:H78)&gt;=1,COUNTA(B78:H78)&lt;5),"×",
IF(COUNTA(B78:H78)=5,"◎")))</f>
        <v>○</v>
      </c>
      <c r="AF78" s="318" t="str">
        <f t="shared" ref="AF78:AF112" si="8" xml:space="preserve">
IF(COUNTA(B78:H78)=0,"申請しない場合は入力不要です。",
IF(AND(COUNTA(B78:H78)&gt;=1,COUNTA(B78:H78)&lt;5),"【要修正】種類、品名、内容量、数量、税抜単価の内、未入力の箇所があります。",
IF(COUNTA(B78:H78)=5,"適切に入力がされました。")))</f>
        <v>申請しない場合は入力不要です。</v>
      </c>
      <c r="AH78" s="318">
        <f t="shared" ref="AH78:AH112" si="9">F78*G78</f>
        <v>0</v>
      </c>
    </row>
    <row r="79" spans="1:34" ht="20.100000000000001" customHeight="1" x14ac:dyDescent="0.4">
      <c r="A79" s="281">
        <v>67</v>
      </c>
      <c r="B79" s="361"/>
      <c r="C79" s="795"/>
      <c r="D79" s="796"/>
      <c r="E79" s="797"/>
      <c r="F79" s="362"/>
      <c r="G79" s="363"/>
      <c r="H79" s="364"/>
      <c r="I79" s="314">
        <f t="shared" si="5"/>
        <v>0</v>
      </c>
      <c r="J79" s="315">
        <f t="shared" si="6"/>
        <v>0</v>
      </c>
      <c r="K79" s="316" t="str">
        <f xml:space="preserve">
IF(AND(AE79="◎",OR(テーブル!$B$3="交付申請",テーブル!$B$3="交付申請（２次以降）",テーブル!$B$3="変更申請")),"－",
IF(AND(AE79&lt;&gt;"◎",OR(テーブル!$B$3="交付申請",テーブル!$B$3="交付申請（２次以降）",テーブル!$B$3="変更申請")),"",
IF(AND(テーブル!$B$3="実績報告",AE79="◎"),COUNTIF($AE$13:AE79,"◎"),"")))</f>
        <v/>
      </c>
      <c r="L79" s="316"/>
      <c r="AC79" s="286" t="s">
        <v>73</v>
      </c>
      <c r="AD79" s="317">
        <v>67</v>
      </c>
      <c r="AE79" s="313" t="str">
        <f t="shared" si="7"/>
        <v>○</v>
      </c>
      <c r="AF79" s="318" t="str">
        <f t="shared" si="8"/>
        <v>申請しない場合は入力不要です。</v>
      </c>
      <c r="AH79" s="318">
        <f t="shared" si="9"/>
        <v>0</v>
      </c>
    </row>
    <row r="80" spans="1:34" ht="20.100000000000001" customHeight="1" x14ac:dyDescent="0.4">
      <c r="A80" s="281">
        <v>68</v>
      </c>
      <c r="B80" s="361"/>
      <c r="C80" s="795"/>
      <c r="D80" s="796"/>
      <c r="E80" s="797"/>
      <c r="F80" s="362"/>
      <c r="G80" s="363"/>
      <c r="H80" s="364"/>
      <c r="I80" s="314">
        <f t="shared" si="5"/>
        <v>0</v>
      </c>
      <c r="J80" s="315">
        <f t="shared" si="6"/>
        <v>0</v>
      </c>
      <c r="K80" s="316" t="str">
        <f xml:space="preserve">
IF(AND(AE80="◎",OR(テーブル!$B$3="交付申請",テーブル!$B$3="交付申請（２次以降）",テーブル!$B$3="変更申請")),"－",
IF(AND(AE80&lt;&gt;"◎",OR(テーブル!$B$3="交付申請",テーブル!$B$3="交付申請（２次以降）",テーブル!$B$3="変更申請")),"",
IF(AND(テーブル!$B$3="実績報告",AE80="◎"),COUNTIF($AE$13:AE80,"◎"),"")))</f>
        <v/>
      </c>
      <c r="L80" s="316"/>
      <c r="AC80" s="286" t="s">
        <v>73</v>
      </c>
      <c r="AD80" s="317">
        <v>68</v>
      </c>
      <c r="AE80" s="313" t="str">
        <f t="shared" si="7"/>
        <v>○</v>
      </c>
      <c r="AF80" s="318" t="str">
        <f t="shared" si="8"/>
        <v>申請しない場合は入力不要です。</v>
      </c>
      <c r="AH80" s="318">
        <f t="shared" si="9"/>
        <v>0</v>
      </c>
    </row>
    <row r="81" spans="1:34" ht="20.100000000000001" customHeight="1" x14ac:dyDescent="0.4">
      <c r="A81" s="281">
        <v>69</v>
      </c>
      <c r="B81" s="361"/>
      <c r="C81" s="795"/>
      <c r="D81" s="796"/>
      <c r="E81" s="797"/>
      <c r="F81" s="362"/>
      <c r="G81" s="363"/>
      <c r="H81" s="364"/>
      <c r="I81" s="314">
        <f t="shared" si="5"/>
        <v>0</v>
      </c>
      <c r="J81" s="315">
        <f t="shared" si="6"/>
        <v>0</v>
      </c>
      <c r="K81" s="316" t="str">
        <f xml:space="preserve">
IF(AND(AE81="◎",OR(テーブル!$B$3="交付申請",テーブル!$B$3="交付申請（２次以降）",テーブル!$B$3="変更申請")),"－",
IF(AND(AE81&lt;&gt;"◎",OR(テーブル!$B$3="交付申請",テーブル!$B$3="交付申請（２次以降）",テーブル!$B$3="変更申請")),"",
IF(AND(テーブル!$B$3="実績報告",AE81="◎"),COUNTIF($AE$13:AE81,"◎"),"")))</f>
        <v/>
      </c>
      <c r="L81" s="316"/>
      <c r="AC81" s="286" t="s">
        <v>73</v>
      </c>
      <c r="AD81" s="317">
        <v>69</v>
      </c>
      <c r="AE81" s="313" t="str">
        <f t="shared" si="7"/>
        <v>○</v>
      </c>
      <c r="AF81" s="318" t="str">
        <f t="shared" si="8"/>
        <v>申請しない場合は入力不要です。</v>
      </c>
      <c r="AH81" s="318">
        <f t="shared" si="9"/>
        <v>0</v>
      </c>
    </row>
    <row r="82" spans="1:34" ht="20.100000000000001" customHeight="1" x14ac:dyDescent="0.4">
      <c r="A82" s="281">
        <v>70</v>
      </c>
      <c r="B82" s="361"/>
      <c r="C82" s="795"/>
      <c r="D82" s="796"/>
      <c r="E82" s="797"/>
      <c r="F82" s="362"/>
      <c r="G82" s="363"/>
      <c r="H82" s="364"/>
      <c r="I82" s="314">
        <f t="shared" si="5"/>
        <v>0</v>
      </c>
      <c r="J82" s="315">
        <f t="shared" si="6"/>
        <v>0</v>
      </c>
      <c r="K82" s="316" t="str">
        <f xml:space="preserve">
IF(AND(AE82="◎",OR(テーブル!$B$3="交付申請",テーブル!$B$3="交付申請（２次以降）",テーブル!$B$3="変更申請")),"－",
IF(AND(AE82&lt;&gt;"◎",OR(テーブル!$B$3="交付申請",テーブル!$B$3="交付申請（２次以降）",テーブル!$B$3="変更申請")),"",
IF(AND(テーブル!$B$3="実績報告",AE82="◎"),COUNTIF($AE$13:AE82,"◎"),"")))</f>
        <v/>
      </c>
      <c r="L82" s="316"/>
      <c r="AC82" s="286" t="s">
        <v>73</v>
      </c>
      <c r="AD82" s="317">
        <v>70</v>
      </c>
      <c r="AE82" s="313" t="str">
        <f t="shared" si="7"/>
        <v>○</v>
      </c>
      <c r="AF82" s="318" t="str">
        <f t="shared" si="8"/>
        <v>申請しない場合は入力不要です。</v>
      </c>
      <c r="AH82" s="318">
        <f t="shared" si="9"/>
        <v>0</v>
      </c>
    </row>
    <row r="83" spans="1:34" ht="20.100000000000001" customHeight="1" x14ac:dyDescent="0.4">
      <c r="A83" s="281">
        <v>71</v>
      </c>
      <c r="B83" s="361"/>
      <c r="C83" s="795"/>
      <c r="D83" s="796"/>
      <c r="E83" s="797"/>
      <c r="F83" s="362"/>
      <c r="G83" s="363"/>
      <c r="H83" s="364"/>
      <c r="I83" s="314">
        <f t="shared" si="5"/>
        <v>0</v>
      </c>
      <c r="J83" s="315">
        <f t="shared" si="6"/>
        <v>0</v>
      </c>
      <c r="K83" s="316" t="str">
        <f xml:space="preserve">
IF(AND(AE83="◎",OR(テーブル!$B$3="交付申請",テーブル!$B$3="交付申請（２次以降）",テーブル!$B$3="変更申請")),"－",
IF(AND(AE83&lt;&gt;"◎",OR(テーブル!$B$3="交付申請",テーブル!$B$3="交付申請（２次以降）",テーブル!$B$3="変更申請")),"",
IF(AND(テーブル!$B$3="実績報告",AE83="◎"),COUNTIF($AE$13:AE83,"◎"),"")))</f>
        <v/>
      </c>
      <c r="L83" s="316"/>
      <c r="AC83" s="286" t="s">
        <v>73</v>
      </c>
      <c r="AD83" s="317">
        <v>71</v>
      </c>
      <c r="AE83" s="313" t="str">
        <f t="shared" si="7"/>
        <v>○</v>
      </c>
      <c r="AF83" s="318" t="str">
        <f t="shared" si="8"/>
        <v>申請しない場合は入力不要です。</v>
      </c>
      <c r="AH83" s="318">
        <f t="shared" si="9"/>
        <v>0</v>
      </c>
    </row>
    <row r="84" spans="1:34" ht="20.100000000000001" customHeight="1" x14ac:dyDescent="0.4">
      <c r="A84" s="281">
        <v>72</v>
      </c>
      <c r="B84" s="361"/>
      <c r="C84" s="795"/>
      <c r="D84" s="796"/>
      <c r="E84" s="797"/>
      <c r="F84" s="362"/>
      <c r="G84" s="363"/>
      <c r="H84" s="364"/>
      <c r="I84" s="314">
        <f t="shared" si="5"/>
        <v>0</v>
      </c>
      <c r="J84" s="315">
        <f t="shared" si="6"/>
        <v>0</v>
      </c>
      <c r="K84" s="316" t="str">
        <f xml:space="preserve">
IF(AND(AE84="◎",OR(テーブル!$B$3="交付申請",テーブル!$B$3="交付申請（２次以降）",テーブル!$B$3="変更申請")),"－",
IF(AND(AE84&lt;&gt;"◎",OR(テーブル!$B$3="交付申請",テーブル!$B$3="交付申請（２次以降）",テーブル!$B$3="変更申請")),"",
IF(AND(テーブル!$B$3="実績報告",AE84="◎"),COUNTIF($AE$13:AE84,"◎"),"")))</f>
        <v/>
      </c>
      <c r="L84" s="316"/>
      <c r="AC84" s="286" t="s">
        <v>73</v>
      </c>
      <c r="AD84" s="317">
        <v>72</v>
      </c>
      <c r="AE84" s="313" t="str">
        <f t="shared" si="7"/>
        <v>○</v>
      </c>
      <c r="AF84" s="318" t="str">
        <f t="shared" si="8"/>
        <v>申請しない場合は入力不要です。</v>
      </c>
      <c r="AH84" s="318">
        <f t="shared" si="9"/>
        <v>0</v>
      </c>
    </row>
    <row r="85" spans="1:34" ht="20.100000000000001" customHeight="1" x14ac:dyDescent="0.4">
      <c r="A85" s="281">
        <v>73</v>
      </c>
      <c r="B85" s="361"/>
      <c r="C85" s="795"/>
      <c r="D85" s="796"/>
      <c r="E85" s="797"/>
      <c r="F85" s="362"/>
      <c r="G85" s="363"/>
      <c r="H85" s="364"/>
      <c r="I85" s="314">
        <f t="shared" si="5"/>
        <v>0</v>
      </c>
      <c r="J85" s="315">
        <f t="shared" si="6"/>
        <v>0</v>
      </c>
      <c r="K85" s="316" t="str">
        <f xml:space="preserve">
IF(AND(AE85="◎",OR(テーブル!$B$3="交付申請",テーブル!$B$3="交付申請（２次以降）",テーブル!$B$3="変更申請")),"－",
IF(AND(AE85&lt;&gt;"◎",OR(テーブル!$B$3="交付申請",テーブル!$B$3="交付申請（２次以降）",テーブル!$B$3="変更申請")),"",
IF(AND(テーブル!$B$3="実績報告",AE85="◎"),COUNTIF($AE$13:AE85,"◎"),"")))</f>
        <v/>
      </c>
      <c r="L85" s="316"/>
      <c r="AC85" s="286" t="s">
        <v>73</v>
      </c>
      <c r="AD85" s="317">
        <v>73</v>
      </c>
      <c r="AE85" s="313" t="str">
        <f t="shared" si="7"/>
        <v>○</v>
      </c>
      <c r="AF85" s="318" t="str">
        <f t="shared" si="8"/>
        <v>申請しない場合は入力不要です。</v>
      </c>
      <c r="AH85" s="318">
        <f t="shared" si="9"/>
        <v>0</v>
      </c>
    </row>
    <row r="86" spans="1:34" ht="20.100000000000001" customHeight="1" x14ac:dyDescent="0.4">
      <c r="A86" s="281">
        <v>74</v>
      </c>
      <c r="B86" s="361"/>
      <c r="C86" s="795"/>
      <c r="D86" s="796"/>
      <c r="E86" s="797"/>
      <c r="F86" s="362"/>
      <c r="G86" s="363"/>
      <c r="H86" s="364"/>
      <c r="I86" s="314">
        <f t="shared" si="5"/>
        <v>0</v>
      </c>
      <c r="J86" s="315">
        <f t="shared" si="6"/>
        <v>0</v>
      </c>
      <c r="K86" s="316" t="str">
        <f xml:space="preserve">
IF(AND(AE86="◎",OR(テーブル!$B$3="交付申請",テーブル!$B$3="交付申請（２次以降）",テーブル!$B$3="変更申請")),"－",
IF(AND(AE86&lt;&gt;"◎",OR(テーブル!$B$3="交付申請",テーブル!$B$3="交付申請（２次以降）",テーブル!$B$3="変更申請")),"",
IF(AND(テーブル!$B$3="実績報告",AE86="◎"),COUNTIF($AE$13:AE86,"◎"),"")))</f>
        <v/>
      </c>
      <c r="L86" s="316"/>
      <c r="AC86" s="286" t="s">
        <v>73</v>
      </c>
      <c r="AD86" s="317">
        <v>74</v>
      </c>
      <c r="AE86" s="313" t="str">
        <f t="shared" si="7"/>
        <v>○</v>
      </c>
      <c r="AF86" s="318" t="str">
        <f t="shared" si="8"/>
        <v>申請しない場合は入力不要です。</v>
      </c>
      <c r="AH86" s="318">
        <f t="shared" si="9"/>
        <v>0</v>
      </c>
    </row>
    <row r="87" spans="1:34" ht="20.100000000000001" customHeight="1" x14ac:dyDescent="0.4">
      <c r="A87" s="281">
        <v>75</v>
      </c>
      <c r="B87" s="361"/>
      <c r="C87" s="795"/>
      <c r="D87" s="796"/>
      <c r="E87" s="797"/>
      <c r="F87" s="362"/>
      <c r="G87" s="363"/>
      <c r="H87" s="364"/>
      <c r="I87" s="314">
        <f t="shared" si="5"/>
        <v>0</v>
      </c>
      <c r="J87" s="315">
        <f t="shared" si="6"/>
        <v>0</v>
      </c>
      <c r="K87" s="316" t="str">
        <f xml:space="preserve">
IF(AND(AE87="◎",OR(テーブル!$B$3="交付申請",テーブル!$B$3="交付申請（２次以降）",テーブル!$B$3="変更申請")),"－",
IF(AND(AE87&lt;&gt;"◎",OR(テーブル!$B$3="交付申請",テーブル!$B$3="交付申請（２次以降）",テーブル!$B$3="変更申請")),"",
IF(AND(テーブル!$B$3="実績報告",AE87="◎"),COUNTIF($AE$13:AE87,"◎"),"")))</f>
        <v/>
      </c>
      <c r="L87" s="316"/>
      <c r="AC87" s="286" t="s">
        <v>73</v>
      </c>
      <c r="AD87" s="317">
        <v>75</v>
      </c>
      <c r="AE87" s="313" t="str">
        <f t="shared" si="7"/>
        <v>○</v>
      </c>
      <c r="AF87" s="318" t="str">
        <f t="shared" si="8"/>
        <v>申請しない場合は入力不要です。</v>
      </c>
      <c r="AH87" s="318">
        <f t="shared" si="9"/>
        <v>0</v>
      </c>
    </row>
    <row r="88" spans="1:34" ht="20.100000000000001" customHeight="1" x14ac:dyDescent="0.4">
      <c r="A88" s="281">
        <v>76</v>
      </c>
      <c r="B88" s="361"/>
      <c r="C88" s="795"/>
      <c r="D88" s="796"/>
      <c r="E88" s="797"/>
      <c r="F88" s="362"/>
      <c r="G88" s="363"/>
      <c r="H88" s="364"/>
      <c r="I88" s="314">
        <f t="shared" si="5"/>
        <v>0</v>
      </c>
      <c r="J88" s="315">
        <f t="shared" si="6"/>
        <v>0</v>
      </c>
      <c r="K88" s="316" t="str">
        <f xml:space="preserve">
IF(AND(AE88="◎",OR(テーブル!$B$3="交付申請",テーブル!$B$3="交付申請（２次以降）",テーブル!$B$3="変更申請")),"－",
IF(AND(AE88&lt;&gt;"◎",OR(テーブル!$B$3="交付申請",テーブル!$B$3="交付申請（２次以降）",テーブル!$B$3="変更申請")),"",
IF(AND(テーブル!$B$3="実績報告",AE88="◎"),COUNTIF($AE$13:AE88,"◎"),"")))</f>
        <v/>
      </c>
      <c r="L88" s="316"/>
      <c r="AC88" s="286" t="s">
        <v>73</v>
      </c>
      <c r="AD88" s="317">
        <v>76</v>
      </c>
      <c r="AE88" s="313" t="str">
        <f t="shared" si="7"/>
        <v>○</v>
      </c>
      <c r="AF88" s="318" t="str">
        <f t="shared" si="8"/>
        <v>申請しない場合は入力不要です。</v>
      </c>
      <c r="AH88" s="318">
        <f t="shared" si="9"/>
        <v>0</v>
      </c>
    </row>
    <row r="89" spans="1:34" ht="20.100000000000001" customHeight="1" x14ac:dyDescent="0.4">
      <c r="A89" s="281">
        <v>77</v>
      </c>
      <c r="B89" s="361"/>
      <c r="C89" s="795"/>
      <c r="D89" s="796"/>
      <c r="E89" s="797"/>
      <c r="F89" s="362"/>
      <c r="G89" s="363"/>
      <c r="H89" s="364"/>
      <c r="I89" s="314">
        <f t="shared" si="5"/>
        <v>0</v>
      </c>
      <c r="J89" s="315">
        <f t="shared" si="6"/>
        <v>0</v>
      </c>
      <c r="K89" s="316" t="str">
        <f xml:space="preserve">
IF(AND(AE89="◎",OR(テーブル!$B$3="交付申請",テーブル!$B$3="交付申請（２次以降）",テーブル!$B$3="変更申請")),"－",
IF(AND(AE89&lt;&gt;"◎",OR(テーブル!$B$3="交付申請",テーブル!$B$3="交付申請（２次以降）",テーブル!$B$3="変更申請")),"",
IF(AND(テーブル!$B$3="実績報告",AE89="◎"),COUNTIF($AE$13:AE89,"◎"),"")))</f>
        <v/>
      </c>
      <c r="L89" s="316"/>
      <c r="AC89" s="286" t="s">
        <v>73</v>
      </c>
      <c r="AD89" s="317">
        <v>77</v>
      </c>
      <c r="AE89" s="313" t="str">
        <f t="shared" si="7"/>
        <v>○</v>
      </c>
      <c r="AF89" s="318" t="str">
        <f t="shared" si="8"/>
        <v>申請しない場合は入力不要です。</v>
      </c>
      <c r="AH89" s="318">
        <f t="shared" si="9"/>
        <v>0</v>
      </c>
    </row>
    <row r="90" spans="1:34" ht="20.100000000000001" customHeight="1" x14ac:dyDescent="0.4">
      <c r="A90" s="281">
        <v>78</v>
      </c>
      <c r="B90" s="361"/>
      <c r="C90" s="795"/>
      <c r="D90" s="796"/>
      <c r="E90" s="797"/>
      <c r="F90" s="362"/>
      <c r="G90" s="363"/>
      <c r="H90" s="364"/>
      <c r="I90" s="314">
        <f t="shared" si="5"/>
        <v>0</v>
      </c>
      <c r="J90" s="315">
        <f t="shared" si="6"/>
        <v>0</v>
      </c>
      <c r="K90" s="316" t="str">
        <f xml:space="preserve">
IF(AND(AE90="◎",OR(テーブル!$B$3="交付申請",テーブル!$B$3="交付申請（２次以降）",テーブル!$B$3="変更申請")),"－",
IF(AND(AE90&lt;&gt;"◎",OR(テーブル!$B$3="交付申請",テーブル!$B$3="交付申請（２次以降）",テーブル!$B$3="変更申請")),"",
IF(AND(テーブル!$B$3="実績報告",AE90="◎"),COUNTIF($AE$13:AE90,"◎"),"")))</f>
        <v/>
      </c>
      <c r="L90" s="316"/>
      <c r="AC90" s="286" t="s">
        <v>73</v>
      </c>
      <c r="AD90" s="317">
        <v>78</v>
      </c>
      <c r="AE90" s="313" t="str">
        <f t="shared" si="7"/>
        <v>○</v>
      </c>
      <c r="AF90" s="318" t="str">
        <f t="shared" si="8"/>
        <v>申請しない場合は入力不要です。</v>
      </c>
      <c r="AH90" s="318">
        <f t="shared" si="9"/>
        <v>0</v>
      </c>
    </row>
    <row r="91" spans="1:34" ht="20.100000000000001" customHeight="1" x14ac:dyDescent="0.4">
      <c r="A91" s="281">
        <v>79</v>
      </c>
      <c r="B91" s="361"/>
      <c r="C91" s="795"/>
      <c r="D91" s="796"/>
      <c r="E91" s="797"/>
      <c r="F91" s="362"/>
      <c r="G91" s="363"/>
      <c r="H91" s="364"/>
      <c r="I91" s="314">
        <f t="shared" si="5"/>
        <v>0</v>
      </c>
      <c r="J91" s="315">
        <f t="shared" si="6"/>
        <v>0</v>
      </c>
      <c r="K91" s="316" t="str">
        <f xml:space="preserve">
IF(AND(AE91="◎",OR(テーブル!$B$3="交付申請",テーブル!$B$3="交付申請（２次以降）",テーブル!$B$3="変更申請")),"－",
IF(AND(AE91&lt;&gt;"◎",OR(テーブル!$B$3="交付申請",テーブル!$B$3="交付申請（２次以降）",テーブル!$B$3="変更申請")),"",
IF(AND(テーブル!$B$3="実績報告",AE91="◎"),COUNTIF($AE$13:AE91,"◎"),"")))</f>
        <v/>
      </c>
      <c r="L91" s="316"/>
      <c r="AC91" s="286" t="s">
        <v>73</v>
      </c>
      <c r="AD91" s="317">
        <v>79</v>
      </c>
      <c r="AE91" s="313" t="str">
        <f t="shared" si="7"/>
        <v>○</v>
      </c>
      <c r="AF91" s="318" t="str">
        <f t="shared" si="8"/>
        <v>申請しない場合は入力不要です。</v>
      </c>
      <c r="AH91" s="318">
        <f t="shared" si="9"/>
        <v>0</v>
      </c>
    </row>
    <row r="92" spans="1:34" ht="20.100000000000001" customHeight="1" x14ac:dyDescent="0.4">
      <c r="A92" s="281">
        <v>80</v>
      </c>
      <c r="B92" s="361"/>
      <c r="C92" s="795"/>
      <c r="D92" s="796"/>
      <c r="E92" s="797"/>
      <c r="F92" s="362"/>
      <c r="G92" s="363"/>
      <c r="H92" s="364"/>
      <c r="I92" s="314">
        <f t="shared" si="5"/>
        <v>0</v>
      </c>
      <c r="J92" s="315">
        <f t="shared" si="6"/>
        <v>0</v>
      </c>
      <c r="K92" s="316" t="str">
        <f xml:space="preserve">
IF(AND(AE92="◎",OR(テーブル!$B$3="交付申請",テーブル!$B$3="交付申請（２次以降）",テーブル!$B$3="変更申請")),"－",
IF(AND(AE92&lt;&gt;"◎",OR(テーブル!$B$3="交付申請",テーブル!$B$3="交付申請（２次以降）",テーブル!$B$3="変更申請")),"",
IF(AND(テーブル!$B$3="実績報告",AE92="◎"),COUNTIF($AE$13:AE92,"◎"),"")))</f>
        <v/>
      </c>
      <c r="L92" s="316"/>
      <c r="AC92" s="286" t="s">
        <v>73</v>
      </c>
      <c r="AD92" s="317">
        <v>80</v>
      </c>
      <c r="AE92" s="313" t="str">
        <f t="shared" si="7"/>
        <v>○</v>
      </c>
      <c r="AF92" s="318" t="str">
        <f t="shared" si="8"/>
        <v>申請しない場合は入力不要です。</v>
      </c>
      <c r="AH92" s="318">
        <f t="shared" si="9"/>
        <v>0</v>
      </c>
    </row>
    <row r="93" spans="1:34" ht="20.100000000000001" customHeight="1" x14ac:dyDescent="0.4">
      <c r="A93" s="281">
        <v>81</v>
      </c>
      <c r="B93" s="361"/>
      <c r="C93" s="795"/>
      <c r="D93" s="796"/>
      <c r="E93" s="797"/>
      <c r="F93" s="362"/>
      <c r="G93" s="363"/>
      <c r="H93" s="364"/>
      <c r="I93" s="314">
        <f t="shared" si="5"/>
        <v>0</v>
      </c>
      <c r="J93" s="315">
        <f t="shared" si="6"/>
        <v>0</v>
      </c>
      <c r="K93" s="316" t="str">
        <f xml:space="preserve">
IF(AND(AE93="◎",OR(テーブル!$B$3="交付申請",テーブル!$B$3="交付申請（２次以降）",テーブル!$B$3="変更申請")),"－",
IF(AND(AE93&lt;&gt;"◎",OR(テーブル!$B$3="交付申請",テーブル!$B$3="交付申請（２次以降）",テーブル!$B$3="変更申請")),"",
IF(AND(テーブル!$B$3="実績報告",AE93="◎"),COUNTIF($AE$13:AE93,"◎"),"")))</f>
        <v/>
      </c>
      <c r="L93" s="316"/>
      <c r="AC93" s="286" t="s">
        <v>73</v>
      </c>
      <c r="AD93" s="317">
        <v>81</v>
      </c>
      <c r="AE93" s="313" t="str">
        <f t="shared" si="7"/>
        <v>○</v>
      </c>
      <c r="AF93" s="318" t="str">
        <f t="shared" si="8"/>
        <v>申請しない場合は入力不要です。</v>
      </c>
      <c r="AH93" s="318">
        <f t="shared" si="9"/>
        <v>0</v>
      </c>
    </row>
    <row r="94" spans="1:34" ht="20.100000000000001" customHeight="1" x14ac:dyDescent="0.4">
      <c r="A94" s="281">
        <v>82</v>
      </c>
      <c r="B94" s="361"/>
      <c r="C94" s="795"/>
      <c r="D94" s="796"/>
      <c r="E94" s="797"/>
      <c r="F94" s="362"/>
      <c r="G94" s="363"/>
      <c r="H94" s="364"/>
      <c r="I94" s="314">
        <f t="shared" si="5"/>
        <v>0</v>
      </c>
      <c r="J94" s="315">
        <f t="shared" si="6"/>
        <v>0</v>
      </c>
      <c r="K94" s="316" t="str">
        <f xml:space="preserve">
IF(AND(AE94="◎",OR(テーブル!$B$3="交付申請",テーブル!$B$3="交付申請（２次以降）",テーブル!$B$3="変更申請")),"－",
IF(AND(AE94&lt;&gt;"◎",OR(テーブル!$B$3="交付申請",テーブル!$B$3="交付申請（２次以降）",テーブル!$B$3="変更申請")),"",
IF(AND(テーブル!$B$3="実績報告",AE94="◎"),COUNTIF($AE$13:AE94,"◎"),"")))</f>
        <v/>
      </c>
      <c r="L94" s="316"/>
      <c r="AC94" s="286" t="s">
        <v>73</v>
      </c>
      <c r="AD94" s="317">
        <v>82</v>
      </c>
      <c r="AE94" s="313" t="str">
        <f t="shared" si="7"/>
        <v>○</v>
      </c>
      <c r="AF94" s="318" t="str">
        <f t="shared" si="8"/>
        <v>申請しない場合は入力不要です。</v>
      </c>
      <c r="AH94" s="318">
        <f t="shared" si="9"/>
        <v>0</v>
      </c>
    </row>
    <row r="95" spans="1:34" ht="20.100000000000001" customHeight="1" x14ac:dyDescent="0.4">
      <c r="A95" s="281">
        <v>83</v>
      </c>
      <c r="B95" s="361"/>
      <c r="C95" s="795"/>
      <c r="D95" s="796"/>
      <c r="E95" s="797"/>
      <c r="F95" s="362"/>
      <c r="G95" s="363"/>
      <c r="H95" s="364"/>
      <c r="I95" s="314">
        <f t="shared" si="5"/>
        <v>0</v>
      </c>
      <c r="J95" s="315">
        <f t="shared" si="6"/>
        <v>0</v>
      </c>
      <c r="K95" s="316" t="str">
        <f xml:space="preserve">
IF(AND(AE95="◎",OR(テーブル!$B$3="交付申請",テーブル!$B$3="交付申請（２次以降）",テーブル!$B$3="変更申請")),"－",
IF(AND(AE95&lt;&gt;"◎",OR(テーブル!$B$3="交付申請",テーブル!$B$3="交付申請（２次以降）",テーブル!$B$3="変更申請")),"",
IF(AND(テーブル!$B$3="実績報告",AE95="◎"),COUNTIF($AE$13:AE95,"◎"),"")))</f>
        <v/>
      </c>
      <c r="L95" s="316"/>
      <c r="AC95" s="286" t="s">
        <v>73</v>
      </c>
      <c r="AD95" s="317">
        <v>83</v>
      </c>
      <c r="AE95" s="313" t="str">
        <f t="shared" si="7"/>
        <v>○</v>
      </c>
      <c r="AF95" s="318" t="str">
        <f t="shared" si="8"/>
        <v>申請しない場合は入力不要です。</v>
      </c>
      <c r="AH95" s="318">
        <f t="shared" si="9"/>
        <v>0</v>
      </c>
    </row>
    <row r="96" spans="1:34" ht="20.100000000000001" customHeight="1" x14ac:dyDescent="0.4">
      <c r="A96" s="281">
        <v>84</v>
      </c>
      <c r="B96" s="361"/>
      <c r="C96" s="795"/>
      <c r="D96" s="796"/>
      <c r="E96" s="797"/>
      <c r="F96" s="362"/>
      <c r="G96" s="363"/>
      <c r="H96" s="364"/>
      <c r="I96" s="314">
        <f t="shared" si="5"/>
        <v>0</v>
      </c>
      <c r="J96" s="315">
        <f t="shared" si="6"/>
        <v>0</v>
      </c>
      <c r="K96" s="316" t="str">
        <f xml:space="preserve">
IF(AND(AE96="◎",OR(テーブル!$B$3="交付申請",テーブル!$B$3="交付申請（２次以降）",テーブル!$B$3="変更申請")),"－",
IF(AND(AE96&lt;&gt;"◎",OR(テーブル!$B$3="交付申請",テーブル!$B$3="交付申請（２次以降）",テーブル!$B$3="変更申請")),"",
IF(AND(テーブル!$B$3="実績報告",AE96="◎"),COUNTIF($AE$13:AE96,"◎"),"")))</f>
        <v/>
      </c>
      <c r="L96" s="316"/>
      <c r="AC96" s="286" t="s">
        <v>73</v>
      </c>
      <c r="AD96" s="317">
        <v>84</v>
      </c>
      <c r="AE96" s="313" t="str">
        <f t="shared" si="7"/>
        <v>○</v>
      </c>
      <c r="AF96" s="318" t="str">
        <f t="shared" si="8"/>
        <v>申請しない場合は入力不要です。</v>
      </c>
      <c r="AH96" s="318">
        <f t="shared" si="9"/>
        <v>0</v>
      </c>
    </row>
    <row r="97" spans="1:34" ht="20.100000000000001" customHeight="1" x14ac:dyDescent="0.4">
      <c r="A97" s="281">
        <v>85</v>
      </c>
      <c r="B97" s="361"/>
      <c r="C97" s="795"/>
      <c r="D97" s="796"/>
      <c r="E97" s="797"/>
      <c r="F97" s="362"/>
      <c r="G97" s="363"/>
      <c r="H97" s="364"/>
      <c r="I97" s="314">
        <f t="shared" si="5"/>
        <v>0</v>
      </c>
      <c r="J97" s="315">
        <f t="shared" si="6"/>
        <v>0</v>
      </c>
      <c r="K97" s="316" t="str">
        <f xml:space="preserve">
IF(AND(AE97="◎",OR(テーブル!$B$3="交付申請",テーブル!$B$3="交付申請（２次以降）",テーブル!$B$3="変更申請")),"－",
IF(AND(AE97&lt;&gt;"◎",OR(テーブル!$B$3="交付申請",テーブル!$B$3="交付申請（２次以降）",テーブル!$B$3="変更申請")),"",
IF(AND(テーブル!$B$3="実績報告",AE97="◎"),COUNTIF($AE$13:AE97,"◎"),"")))</f>
        <v/>
      </c>
      <c r="L97" s="316"/>
      <c r="AC97" s="286" t="s">
        <v>73</v>
      </c>
      <c r="AD97" s="317">
        <v>85</v>
      </c>
      <c r="AE97" s="313" t="str">
        <f t="shared" si="7"/>
        <v>○</v>
      </c>
      <c r="AF97" s="318" t="str">
        <f t="shared" si="8"/>
        <v>申請しない場合は入力不要です。</v>
      </c>
      <c r="AH97" s="318">
        <f t="shared" si="9"/>
        <v>0</v>
      </c>
    </row>
    <row r="98" spans="1:34" ht="20.100000000000001" customHeight="1" x14ac:dyDescent="0.4">
      <c r="A98" s="281">
        <v>86</v>
      </c>
      <c r="B98" s="361"/>
      <c r="C98" s="795"/>
      <c r="D98" s="796"/>
      <c r="E98" s="797"/>
      <c r="F98" s="362"/>
      <c r="G98" s="363"/>
      <c r="H98" s="364"/>
      <c r="I98" s="314">
        <f t="shared" si="5"/>
        <v>0</v>
      </c>
      <c r="J98" s="315">
        <f t="shared" si="6"/>
        <v>0</v>
      </c>
      <c r="K98" s="316" t="str">
        <f xml:space="preserve">
IF(AND(AE98="◎",OR(テーブル!$B$3="交付申請",テーブル!$B$3="交付申請（２次以降）",テーブル!$B$3="変更申請")),"－",
IF(AND(AE98&lt;&gt;"◎",OR(テーブル!$B$3="交付申請",テーブル!$B$3="交付申請（２次以降）",テーブル!$B$3="変更申請")),"",
IF(AND(テーブル!$B$3="実績報告",AE98="◎"),COUNTIF($AE$13:AE98,"◎"),"")))</f>
        <v/>
      </c>
      <c r="L98" s="316"/>
      <c r="AC98" s="286" t="s">
        <v>73</v>
      </c>
      <c r="AD98" s="317">
        <v>86</v>
      </c>
      <c r="AE98" s="313" t="str">
        <f t="shared" si="7"/>
        <v>○</v>
      </c>
      <c r="AF98" s="318" t="str">
        <f t="shared" si="8"/>
        <v>申請しない場合は入力不要です。</v>
      </c>
      <c r="AH98" s="318">
        <f t="shared" si="9"/>
        <v>0</v>
      </c>
    </row>
    <row r="99" spans="1:34" ht="20.100000000000001" customHeight="1" x14ac:dyDescent="0.4">
      <c r="A99" s="281">
        <v>87</v>
      </c>
      <c r="B99" s="361"/>
      <c r="C99" s="795"/>
      <c r="D99" s="796"/>
      <c r="E99" s="797"/>
      <c r="F99" s="362"/>
      <c r="G99" s="363"/>
      <c r="H99" s="364"/>
      <c r="I99" s="314">
        <f t="shared" si="5"/>
        <v>0</v>
      </c>
      <c r="J99" s="315">
        <f t="shared" si="6"/>
        <v>0</v>
      </c>
      <c r="K99" s="316" t="str">
        <f xml:space="preserve">
IF(AND(AE99="◎",OR(テーブル!$B$3="交付申請",テーブル!$B$3="交付申請（２次以降）",テーブル!$B$3="変更申請")),"－",
IF(AND(AE99&lt;&gt;"◎",OR(テーブル!$B$3="交付申請",テーブル!$B$3="交付申請（２次以降）",テーブル!$B$3="変更申請")),"",
IF(AND(テーブル!$B$3="実績報告",AE99="◎"),COUNTIF($AE$13:AE99,"◎"),"")))</f>
        <v/>
      </c>
      <c r="L99" s="316"/>
      <c r="AC99" s="286" t="s">
        <v>73</v>
      </c>
      <c r="AD99" s="317">
        <v>87</v>
      </c>
      <c r="AE99" s="313" t="str">
        <f t="shared" si="7"/>
        <v>○</v>
      </c>
      <c r="AF99" s="318" t="str">
        <f t="shared" si="8"/>
        <v>申請しない場合は入力不要です。</v>
      </c>
      <c r="AH99" s="318">
        <f t="shared" si="9"/>
        <v>0</v>
      </c>
    </row>
    <row r="100" spans="1:34" ht="20.100000000000001" customHeight="1" x14ac:dyDescent="0.4">
      <c r="A100" s="281">
        <v>88</v>
      </c>
      <c r="B100" s="361"/>
      <c r="C100" s="795"/>
      <c r="D100" s="796"/>
      <c r="E100" s="797"/>
      <c r="F100" s="362"/>
      <c r="G100" s="363"/>
      <c r="H100" s="364"/>
      <c r="I100" s="314">
        <f t="shared" si="5"/>
        <v>0</v>
      </c>
      <c r="J100" s="315">
        <f t="shared" si="6"/>
        <v>0</v>
      </c>
      <c r="K100" s="316" t="str">
        <f xml:space="preserve">
IF(AND(AE100="◎",OR(テーブル!$B$3="交付申請",テーブル!$B$3="交付申請（２次以降）",テーブル!$B$3="変更申請")),"－",
IF(AND(AE100&lt;&gt;"◎",OR(テーブル!$B$3="交付申請",テーブル!$B$3="交付申請（２次以降）",テーブル!$B$3="変更申請")),"",
IF(AND(テーブル!$B$3="実績報告",AE100="◎"),COUNTIF($AE$13:AE100,"◎"),"")))</f>
        <v/>
      </c>
      <c r="L100" s="316"/>
      <c r="AC100" s="286" t="s">
        <v>73</v>
      </c>
      <c r="AD100" s="317">
        <v>88</v>
      </c>
      <c r="AE100" s="313" t="str">
        <f t="shared" si="7"/>
        <v>○</v>
      </c>
      <c r="AF100" s="318" t="str">
        <f t="shared" si="8"/>
        <v>申請しない場合は入力不要です。</v>
      </c>
      <c r="AH100" s="318">
        <f t="shared" si="9"/>
        <v>0</v>
      </c>
    </row>
    <row r="101" spans="1:34" ht="20.100000000000001" customHeight="1" x14ac:dyDescent="0.4">
      <c r="A101" s="281">
        <v>89</v>
      </c>
      <c r="B101" s="361"/>
      <c r="C101" s="795"/>
      <c r="D101" s="796"/>
      <c r="E101" s="797"/>
      <c r="F101" s="362"/>
      <c r="G101" s="363"/>
      <c r="H101" s="364"/>
      <c r="I101" s="314">
        <f t="shared" si="5"/>
        <v>0</v>
      </c>
      <c r="J101" s="315">
        <f t="shared" si="6"/>
        <v>0</v>
      </c>
      <c r="K101" s="316" t="str">
        <f xml:space="preserve">
IF(AND(AE101="◎",OR(テーブル!$B$3="交付申請",テーブル!$B$3="交付申請（２次以降）",テーブル!$B$3="変更申請")),"－",
IF(AND(AE101&lt;&gt;"◎",OR(テーブル!$B$3="交付申請",テーブル!$B$3="交付申請（２次以降）",テーブル!$B$3="変更申請")),"",
IF(AND(テーブル!$B$3="実績報告",AE101="◎"),COUNTIF($AE$13:AE101,"◎"),"")))</f>
        <v/>
      </c>
      <c r="L101" s="316"/>
      <c r="AC101" s="286" t="s">
        <v>73</v>
      </c>
      <c r="AD101" s="317">
        <v>89</v>
      </c>
      <c r="AE101" s="313" t="str">
        <f t="shared" si="7"/>
        <v>○</v>
      </c>
      <c r="AF101" s="318" t="str">
        <f t="shared" si="8"/>
        <v>申請しない場合は入力不要です。</v>
      </c>
      <c r="AH101" s="318">
        <f t="shared" si="9"/>
        <v>0</v>
      </c>
    </row>
    <row r="102" spans="1:34" ht="20.100000000000001" customHeight="1" x14ac:dyDescent="0.4">
      <c r="A102" s="281">
        <v>90</v>
      </c>
      <c r="B102" s="361"/>
      <c r="C102" s="795"/>
      <c r="D102" s="796"/>
      <c r="E102" s="797"/>
      <c r="F102" s="362"/>
      <c r="G102" s="363"/>
      <c r="H102" s="364"/>
      <c r="I102" s="314">
        <f t="shared" si="5"/>
        <v>0</v>
      </c>
      <c r="J102" s="315">
        <f t="shared" si="6"/>
        <v>0</v>
      </c>
      <c r="K102" s="316" t="str">
        <f xml:space="preserve">
IF(AND(AE102="◎",OR(テーブル!$B$3="交付申請",テーブル!$B$3="交付申請（２次以降）",テーブル!$B$3="変更申請")),"－",
IF(AND(AE102&lt;&gt;"◎",OR(テーブル!$B$3="交付申請",テーブル!$B$3="交付申請（２次以降）",テーブル!$B$3="変更申請")),"",
IF(AND(テーブル!$B$3="実績報告",AE102="◎"),COUNTIF($AE$13:AE102,"◎"),"")))</f>
        <v/>
      </c>
      <c r="L102" s="316"/>
      <c r="AC102" s="286" t="s">
        <v>73</v>
      </c>
      <c r="AD102" s="317">
        <v>90</v>
      </c>
      <c r="AE102" s="313" t="str">
        <f t="shared" si="7"/>
        <v>○</v>
      </c>
      <c r="AF102" s="318" t="str">
        <f t="shared" si="8"/>
        <v>申請しない場合は入力不要です。</v>
      </c>
      <c r="AH102" s="318">
        <f t="shared" si="9"/>
        <v>0</v>
      </c>
    </row>
    <row r="103" spans="1:34" ht="20.100000000000001" customHeight="1" x14ac:dyDescent="0.4">
      <c r="A103" s="281">
        <v>91</v>
      </c>
      <c r="B103" s="361"/>
      <c r="C103" s="795"/>
      <c r="D103" s="796"/>
      <c r="E103" s="797"/>
      <c r="F103" s="362"/>
      <c r="G103" s="363"/>
      <c r="H103" s="364"/>
      <c r="I103" s="314">
        <f t="shared" si="5"/>
        <v>0</v>
      </c>
      <c r="J103" s="315">
        <f t="shared" si="6"/>
        <v>0</v>
      </c>
      <c r="K103" s="316" t="str">
        <f xml:space="preserve">
IF(AND(AE103="◎",OR(テーブル!$B$3="交付申請",テーブル!$B$3="交付申請（２次以降）",テーブル!$B$3="変更申請")),"－",
IF(AND(AE103&lt;&gt;"◎",OR(テーブル!$B$3="交付申請",テーブル!$B$3="交付申請（２次以降）",テーブル!$B$3="変更申請")),"",
IF(AND(テーブル!$B$3="実績報告",AE103="◎"),COUNTIF($AE$13:AE103,"◎"),"")))</f>
        <v/>
      </c>
      <c r="L103" s="316"/>
      <c r="AC103" s="286" t="s">
        <v>73</v>
      </c>
      <c r="AD103" s="317">
        <v>91</v>
      </c>
      <c r="AE103" s="313" t="str">
        <f t="shared" si="7"/>
        <v>○</v>
      </c>
      <c r="AF103" s="318" t="str">
        <f t="shared" si="8"/>
        <v>申請しない場合は入力不要です。</v>
      </c>
      <c r="AH103" s="318">
        <f t="shared" si="9"/>
        <v>0</v>
      </c>
    </row>
    <row r="104" spans="1:34" ht="20.100000000000001" customHeight="1" x14ac:dyDescent="0.4">
      <c r="A104" s="281">
        <v>92</v>
      </c>
      <c r="B104" s="361"/>
      <c r="C104" s="795"/>
      <c r="D104" s="796"/>
      <c r="E104" s="797"/>
      <c r="F104" s="362"/>
      <c r="G104" s="363"/>
      <c r="H104" s="364"/>
      <c r="I104" s="314">
        <f t="shared" si="5"/>
        <v>0</v>
      </c>
      <c r="J104" s="315">
        <f t="shared" si="6"/>
        <v>0</v>
      </c>
      <c r="K104" s="316" t="str">
        <f xml:space="preserve">
IF(AND(AE104="◎",OR(テーブル!$B$3="交付申請",テーブル!$B$3="交付申請（２次以降）",テーブル!$B$3="変更申請")),"－",
IF(AND(AE104&lt;&gt;"◎",OR(テーブル!$B$3="交付申請",テーブル!$B$3="交付申請（２次以降）",テーブル!$B$3="変更申請")),"",
IF(AND(テーブル!$B$3="実績報告",AE104="◎"),COUNTIF($AE$13:AE104,"◎"),"")))</f>
        <v/>
      </c>
      <c r="L104" s="316"/>
      <c r="AC104" s="286" t="s">
        <v>73</v>
      </c>
      <c r="AD104" s="317">
        <v>92</v>
      </c>
      <c r="AE104" s="313" t="str">
        <f t="shared" si="7"/>
        <v>○</v>
      </c>
      <c r="AF104" s="318" t="str">
        <f t="shared" si="8"/>
        <v>申請しない場合は入力不要です。</v>
      </c>
      <c r="AH104" s="318">
        <f t="shared" si="9"/>
        <v>0</v>
      </c>
    </row>
    <row r="105" spans="1:34" ht="20.100000000000001" customHeight="1" x14ac:dyDescent="0.4">
      <c r="A105" s="281">
        <v>93</v>
      </c>
      <c r="B105" s="361"/>
      <c r="C105" s="795"/>
      <c r="D105" s="796"/>
      <c r="E105" s="797"/>
      <c r="F105" s="362"/>
      <c r="G105" s="363"/>
      <c r="H105" s="364"/>
      <c r="I105" s="314">
        <f t="shared" si="5"/>
        <v>0</v>
      </c>
      <c r="J105" s="315">
        <f t="shared" si="6"/>
        <v>0</v>
      </c>
      <c r="K105" s="316" t="str">
        <f xml:space="preserve">
IF(AND(AE105="◎",OR(テーブル!$B$3="交付申請",テーブル!$B$3="交付申請（２次以降）",テーブル!$B$3="変更申請")),"－",
IF(AND(AE105&lt;&gt;"◎",OR(テーブル!$B$3="交付申請",テーブル!$B$3="交付申請（２次以降）",テーブル!$B$3="変更申請")),"",
IF(AND(テーブル!$B$3="実績報告",AE105="◎"),COUNTIF($AE$13:AE105,"◎"),"")))</f>
        <v/>
      </c>
      <c r="L105" s="316"/>
      <c r="AC105" s="286" t="s">
        <v>73</v>
      </c>
      <c r="AD105" s="317">
        <v>93</v>
      </c>
      <c r="AE105" s="313" t="str">
        <f t="shared" si="7"/>
        <v>○</v>
      </c>
      <c r="AF105" s="318" t="str">
        <f t="shared" si="8"/>
        <v>申請しない場合は入力不要です。</v>
      </c>
      <c r="AH105" s="318">
        <f t="shared" si="9"/>
        <v>0</v>
      </c>
    </row>
    <row r="106" spans="1:34" ht="20.100000000000001" customHeight="1" x14ac:dyDescent="0.4">
      <c r="A106" s="281">
        <v>94</v>
      </c>
      <c r="B106" s="361"/>
      <c r="C106" s="795"/>
      <c r="D106" s="796"/>
      <c r="E106" s="797"/>
      <c r="F106" s="362"/>
      <c r="G106" s="363"/>
      <c r="H106" s="364"/>
      <c r="I106" s="314">
        <f t="shared" si="5"/>
        <v>0</v>
      </c>
      <c r="J106" s="315">
        <f t="shared" si="6"/>
        <v>0</v>
      </c>
      <c r="K106" s="316" t="str">
        <f xml:space="preserve">
IF(AND(AE106="◎",OR(テーブル!$B$3="交付申請",テーブル!$B$3="交付申請（２次以降）",テーブル!$B$3="変更申請")),"－",
IF(AND(AE106&lt;&gt;"◎",OR(テーブル!$B$3="交付申請",テーブル!$B$3="交付申請（２次以降）",テーブル!$B$3="変更申請")),"",
IF(AND(テーブル!$B$3="実績報告",AE106="◎"),COUNTIF($AE$13:AE106,"◎"),"")))</f>
        <v/>
      </c>
      <c r="L106" s="316"/>
      <c r="AC106" s="286" t="s">
        <v>73</v>
      </c>
      <c r="AD106" s="317">
        <v>94</v>
      </c>
      <c r="AE106" s="313" t="str">
        <f t="shared" si="7"/>
        <v>○</v>
      </c>
      <c r="AF106" s="318" t="str">
        <f t="shared" si="8"/>
        <v>申請しない場合は入力不要です。</v>
      </c>
      <c r="AH106" s="318">
        <f t="shared" si="9"/>
        <v>0</v>
      </c>
    </row>
    <row r="107" spans="1:34" ht="20.100000000000001" customHeight="1" x14ac:dyDescent="0.4">
      <c r="A107" s="281">
        <v>95</v>
      </c>
      <c r="B107" s="361"/>
      <c r="C107" s="795"/>
      <c r="D107" s="796"/>
      <c r="E107" s="797"/>
      <c r="F107" s="362"/>
      <c r="G107" s="363"/>
      <c r="H107" s="364"/>
      <c r="I107" s="314">
        <f t="shared" si="5"/>
        <v>0</v>
      </c>
      <c r="J107" s="315">
        <f t="shared" si="6"/>
        <v>0</v>
      </c>
      <c r="K107" s="316" t="str">
        <f xml:space="preserve">
IF(AND(AE107="◎",OR(テーブル!$B$3="交付申請",テーブル!$B$3="交付申請（２次以降）",テーブル!$B$3="変更申請")),"－",
IF(AND(AE107&lt;&gt;"◎",OR(テーブル!$B$3="交付申請",テーブル!$B$3="交付申請（２次以降）",テーブル!$B$3="変更申請")),"",
IF(AND(テーブル!$B$3="実績報告",AE107="◎"),COUNTIF($AE$13:AE107,"◎"),"")))</f>
        <v/>
      </c>
      <c r="L107" s="316"/>
      <c r="AC107" s="286" t="s">
        <v>73</v>
      </c>
      <c r="AD107" s="317">
        <v>95</v>
      </c>
      <c r="AE107" s="313" t="str">
        <f t="shared" si="7"/>
        <v>○</v>
      </c>
      <c r="AF107" s="318" t="str">
        <f t="shared" si="8"/>
        <v>申請しない場合は入力不要です。</v>
      </c>
      <c r="AH107" s="318">
        <f t="shared" si="9"/>
        <v>0</v>
      </c>
    </row>
    <row r="108" spans="1:34" ht="20.100000000000001" customHeight="1" x14ac:dyDescent="0.4">
      <c r="A108" s="281">
        <v>96</v>
      </c>
      <c r="B108" s="361"/>
      <c r="C108" s="795"/>
      <c r="D108" s="796"/>
      <c r="E108" s="797"/>
      <c r="F108" s="362"/>
      <c r="G108" s="363"/>
      <c r="H108" s="364"/>
      <c r="I108" s="314">
        <f t="shared" si="5"/>
        <v>0</v>
      </c>
      <c r="J108" s="315">
        <f t="shared" si="6"/>
        <v>0</v>
      </c>
      <c r="K108" s="316" t="str">
        <f xml:space="preserve">
IF(AND(AE108="◎",OR(テーブル!$B$3="交付申請",テーブル!$B$3="交付申請（２次以降）",テーブル!$B$3="変更申請")),"－",
IF(AND(AE108&lt;&gt;"◎",OR(テーブル!$B$3="交付申請",テーブル!$B$3="交付申請（２次以降）",テーブル!$B$3="変更申請")),"",
IF(AND(テーブル!$B$3="実績報告",AE108="◎"),COUNTIF($AE$13:AE108,"◎"),"")))</f>
        <v/>
      </c>
      <c r="L108" s="316"/>
      <c r="AC108" s="286" t="s">
        <v>73</v>
      </c>
      <c r="AD108" s="317">
        <v>96</v>
      </c>
      <c r="AE108" s="313" t="str">
        <f t="shared" si="7"/>
        <v>○</v>
      </c>
      <c r="AF108" s="318" t="str">
        <f t="shared" si="8"/>
        <v>申請しない場合は入力不要です。</v>
      </c>
      <c r="AH108" s="318">
        <f t="shared" si="9"/>
        <v>0</v>
      </c>
    </row>
    <row r="109" spans="1:34" ht="20.100000000000001" customHeight="1" x14ac:dyDescent="0.4">
      <c r="A109" s="281">
        <v>97</v>
      </c>
      <c r="B109" s="361"/>
      <c r="C109" s="795"/>
      <c r="D109" s="796"/>
      <c r="E109" s="797"/>
      <c r="F109" s="362"/>
      <c r="G109" s="363"/>
      <c r="H109" s="364"/>
      <c r="I109" s="314">
        <f t="shared" si="5"/>
        <v>0</v>
      </c>
      <c r="J109" s="315">
        <f t="shared" si="6"/>
        <v>0</v>
      </c>
      <c r="K109" s="316" t="str">
        <f xml:space="preserve">
IF(AND(AE109="◎",OR(テーブル!$B$3="交付申請",テーブル!$B$3="交付申請（２次以降）",テーブル!$B$3="変更申請")),"－",
IF(AND(AE109&lt;&gt;"◎",OR(テーブル!$B$3="交付申請",テーブル!$B$3="交付申請（２次以降）",テーブル!$B$3="変更申請")),"",
IF(AND(テーブル!$B$3="実績報告",AE109="◎"),COUNTIF($AE$13:AE109,"◎"),"")))</f>
        <v/>
      </c>
      <c r="L109" s="316"/>
      <c r="AC109" s="286" t="s">
        <v>73</v>
      </c>
      <c r="AD109" s="317">
        <v>97</v>
      </c>
      <c r="AE109" s="313" t="str">
        <f t="shared" si="7"/>
        <v>○</v>
      </c>
      <c r="AF109" s="318" t="str">
        <f t="shared" si="8"/>
        <v>申請しない場合は入力不要です。</v>
      </c>
      <c r="AH109" s="318">
        <f t="shared" si="9"/>
        <v>0</v>
      </c>
    </row>
    <row r="110" spans="1:34" ht="20.100000000000001" customHeight="1" x14ac:dyDescent="0.4">
      <c r="A110" s="281">
        <v>98</v>
      </c>
      <c r="B110" s="361"/>
      <c r="C110" s="795"/>
      <c r="D110" s="796"/>
      <c r="E110" s="797"/>
      <c r="F110" s="362"/>
      <c r="G110" s="363"/>
      <c r="H110" s="364"/>
      <c r="I110" s="314">
        <f t="shared" si="5"/>
        <v>0</v>
      </c>
      <c r="J110" s="315">
        <f t="shared" si="6"/>
        <v>0</v>
      </c>
      <c r="K110" s="316" t="str">
        <f xml:space="preserve">
IF(AND(AE110="◎",OR(テーブル!$B$3="交付申請",テーブル!$B$3="交付申請（２次以降）",テーブル!$B$3="変更申請")),"－",
IF(AND(AE110&lt;&gt;"◎",OR(テーブル!$B$3="交付申請",テーブル!$B$3="交付申請（２次以降）",テーブル!$B$3="変更申請")),"",
IF(AND(テーブル!$B$3="実績報告",AE110="◎"),COUNTIF($AE$13:AE110,"◎"),"")))</f>
        <v/>
      </c>
      <c r="L110" s="316"/>
      <c r="AC110" s="286" t="s">
        <v>73</v>
      </c>
      <c r="AD110" s="317">
        <v>98</v>
      </c>
      <c r="AE110" s="313" t="str">
        <f t="shared" si="7"/>
        <v>○</v>
      </c>
      <c r="AF110" s="318" t="str">
        <f t="shared" si="8"/>
        <v>申請しない場合は入力不要です。</v>
      </c>
      <c r="AH110" s="318">
        <f t="shared" si="9"/>
        <v>0</v>
      </c>
    </row>
    <row r="111" spans="1:34" ht="20.100000000000001" customHeight="1" x14ac:dyDescent="0.4">
      <c r="A111" s="281">
        <v>99</v>
      </c>
      <c r="B111" s="361"/>
      <c r="C111" s="795"/>
      <c r="D111" s="796"/>
      <c r="E111" s="797"/>
      <c r="F111" s="362"/>
      <c r="G111" s="363"/>
      <c r="H111" s="364"/>
      <c r="I111" s="314">
        <f t="shared" si="5"/>
        <v>0</v>
      </c>
      <c r="J111" s="315">
        <f t="shared" si="6"/>
        <v>0</v>
      </c>
      <c r="K111" s="316" t="str">
        <f xml:space="preserve">
IF(AND(AE111="◎",OR(テーブル!$B$3="交付申請",テーブル!$B$3="交付申請（２次以降）",テーブル!$B$3="変更申請")),"－",
IF(AND(AE111&lt;&gt;"◎",OR(テーブル!$B$3="交付申請",テーブル!$B$3="交付申請（２次以降）",テーブル!$B$3="変更申請")),"",
IF(AND(テーブル!$B$3="実績報告",AE111="◎"),COUNTIF($AE$13:AE111,"◎"),"")))</f>
        <v/>
      </c>
      <c r="L111" s="316"/>
      <c r="AC111" s="286" t="s">
        <v>73</v>
      </c>
      <c r="AD111" s="317">
        <v>99</v>
      </c>
      <c r="AE111" s="313" t="str">
        <f t="shared" si="7"/>
        <v>○</v>
      </c>
      <c r="AF111" s="318" t="str">
        <f t="shared" si="8"/>
        <v>申請しない場合は入力不要です。</v>
      </c>
      <c r="AH111" s="318">
        <f t="shared" si="9"/>
        <v>0</v>
      </c>
    </row>
    <row r="112" spans="1:34" ht="20.100000000000001" customHeight="1" x14ac:dyDescent="0.4">
      <c r="A112" s="281">
        <v>100</v>
      </c>
      <c r="B112" s="361"/>
      <c r="C112" s="795"/>
      <c r="D112" s="796"/>
      <c r="E112" s="797"/>
      <c r="F112" s="362"/>
      <c r="G112" s="363"/>
      <c r="H112" s="364"/>
      <c r="I112" s="314">
        <f t="shared" si="5"/>
        <v>0</v>
      </c>
      <c r="J112" s="315">
        <f t="shared" si="6"/>
        <v>0</v>
      </c>
      <c r="K112" s="316" t="str">
        <f xml:space="preserve">
IF(AND(AE112="◎",OR(テーブル!$B$3="交付申請",テーブル!$B$3="交付申請（２次以降）",テーブル!$B$3="変更申請")),"－",
IF(AND(AE112&lt;&gt;"◎",OR(テーブル!$B$3="交付申請",テーブル!$B$3="交付申請（２次以降）",テーブル!$B$3="変更申請")),"",
IF(AND(テーブル!$B$3="実績報告",AE112="◎"),COUNTIF($AE$13:AE112,"◎"),"")))</f>
        <v/>
      </c>
      <c r="L112" s="316"/>
      <c r="AC112" s="286" t="s">
        <v>73</v>
      </c>
      <c r="AD112" s="317">
        <v>100</v>
      </c>
      <c r="AE112" s="313" t="str">
        <f t="shared" si="7"/>
        <v>○</v>
      </c>
      <c r="AF112" s="318" t="str">
        <f t="shared" si="8"/>
        <v>申請しない場合は入力不要です。</v>
      </c>
      <c r="AH112" s="318">
        <f t="shared" si="9"/>
        <v>0</v>
      </c>
    </row>
    <row r="117" spans="38:46" ht="30" customHeight="1" x14ac:dyDescent="0.4">
      <c r="AL117" s="313" t="s">
        <v>113</v>
      </c>
      <c r="AM117" s="313" t="s">
        <v>114</v>
      </c>
      <c r="AN117" s="313" t="s">
        <v>115</v>
      </c>
      <c r="AO117" s="313" t="s">
        <v>116</v>
      </c>
      <c r="AP117" s="806" t="s">
        <v>153</v>
      </c>
      <c r="AQ117" s="632"/>
      <c r="AR117" s="632"/>
      <c r="AS117" s="632"/>
      <c r="AT117" s="632"/>
    </row>
    <row r="118" spans="38:46" ht="30" customHeight="1" x14ac:dyDescent="0.4">
      <c r="AL118" s="318" t="s">
        <v>118</v>
      </c>
      <c r="AM118" s="319" t="str">
        <f>IF(COUNTA(C6:C7)=0,"○",IF(OR(COUNTA(C6:C7)=1,C6=0,C7=0),"×",IF(COUNTA(C6:C7)=2,"◎")))</f>
        <v>○</v>
      </c>
      <c r="AN118" s="808" t="str">
        <f xml:space="preserve">
IF(AND(AM118="×",AM119="×"),"×",
IF(AND(AM118="×",AM119="○"),"×",
IF(AND(AM118="×",AM119="◎"),"×",
IF(AND(AM118="○",AM119="×"),"×",
IF(AND(AM118="○",AM119="○"),"○",
IF(AND(AM118="○",AM119="◎"),"×",
IF(AND(AM118="◎",AM119="×"),"×",
IF(AND(AM118="◎",AM119="○"),"×",
IF(AND(AM118="◎",AM119="◎"),"◎",
)))))))))</f>
        <v>○</v>
      </c>
      <c r="AO118" s="810" t="str">
        <f xml:space="preserve">
IF(AND(AM118="×",AM119="×"),"【要修正】「１．はじめに」及び「２．防護具情報」いずれも入力が不十分です。",
IF(AND(AM118="×",AM119="○"),"【要修正】「１．はじめに」が入力不十分、また「２．防護具情報」が未入力です。",
IF(AND(AM118="×",AM119="◎"),"【要修正】「１．はじめに」が入力不十分です。",
IF(AND(AM118="○",AM119="×"),"【要修正】「１．はじめに」が未入力、「２．防護具情報」に入力不十分な箇所があります。",
IF(AND(AM118="○",AM119="○"),"個人防護具の補助申請を行わない場合は入力不要です。",
IF(AND(AM118="○",AM119="◎"),"【要修正】「１．はじめに」が未入力です。",
IF(AND(AM118="◎",AM119="×"),"【要修正】「２．防護具情報」に入力不十分な箇所があります。",
IF(AND(AM118="◎",AM119="○"),"【要修正】「２．防護具情報」に入力不十分な箇所があります。",
IF(AND(AM118="◎",AM119="◎"),"いずれの項目も適切に入力されました。",
)))))))))</f>
        <v>個人防護具の補助申請を行わない場合は入力不要です。</v>
      </c>
      <c r="AP118" s="807"/>
      <c r="AQ118" s="632"/>
      <c r="AR118" s="632"/>
      <c r="AS118" s="632"/>
      <c r="AT118" s="632"/>
    </row>
    <row r="119" spans="38:46" ht="30" customHeight="1" x14ac:dyDescent="0.4">
      <c r="AL119" s="318" t="s">
        <v>154</v>
      </c>
      <c r="AM119" s="319" t="str">
        <f>IF(COUNTIF(AE13:AE112,"×")&gt;=1,"×",IF(COUNTIF(AE13:AE112,"○")=100,"○","◎"))</f>
        <v>○</v>
      </c>
      <c r="AN119" s="809"/>
      <c r="AO119" s="811"/>
      <c r="AP119" s="807"/>
      <c r="AQ119" s="632"/>
      <c r="AR119" s="632"/>
      <c r="AS119" s="632"/>
      <c r="AT119" s="632"/>
    </row>
    <row r="120" spans="38:46" ht="30" customHeight="1" x14ac:dyDescent="0.4">
      <c r="AL120" s="320" t="s">
        <v>117</v>
      </c>
      <c r="AM120" s="257"/>
      <c r="AN120" s="257"/>
      <c r="AO120" s="279"/>
      <c r="AP120" s="279"/>
      <c r="AQ120" s="278"/>
      <c r="AR120" s="278"/>
      <c r="AS120" s="278"/>
      <c r="AT120" s="278"/>
    </row>
    <row r="122" spans="38:46" ht="20.100000000000001" customHeight="1" x14ac:dyDescent="0.4">
      <c r="AQ122" s="321" t="s">
        <v>274</v>
      </c>
      <c r="AR122" s="321" t="s">
        <v>263</v>
      </c>
      <c r="AS122" s="321" t="s">
        <v>275</v>
      </c>
    </row>
    <row r="123" spans="38:46" ht="20.100000000000001" customHeight="1" x14ac:dyDescent="0.4">
      <c r="AQ123" s="318" t="s">
        <v>268</v>
      </c>
      <c r="AR123" s="322">
        <f>SUMIF($B$13:$B$112,AQ123,$AH$13:$AH$112)</f>
        <v>0</v>
      </c>
      <c r="AS123" s="324">
        <f>IFERROR(ROUNDDOWN(AR123/$C$8,1),0)</f>
        <v>0</v>
      </c>
    </row>
    <row r="124" spans="38:46" ht="20.100000000000001" customHeight="1" x14ac:dyDescent="0.4">
      <c r="AQ124" s="318" t="s">
        <v>269</v>
      </c>
      <c r="AR124" s="322">
        <f t="shared" ref="AR124:AR128" si="10">SUMIF($B$13:$B$112,AQ124,$AH$13:$AH$112)</f>
        <v>0</v>
      </c>
      <c r="AS124" s="325">
        <f>IFERROR(ROUNDDOWN(AR124/$C$8,1),0)</f>
        <v>0</v>
      </c>
    </row>
    <row r="125" spans="38:46" ht="20.100000000000001" customHeight="1" x14ac:dyDescent="0.4">
      <c r="AQ125" s="318" t="s">
        <v>270</v>
      </c>
      <c r="AR125" s="322">
        <f t="shared" si="10"/>
        <v>0</v>
      </c>
      <c r="AS125" s="326">
        <f t="shared" ref="AS125:AS128" si="11">IFERROR(ROUNDDOWN(AR125/$C$8,1),0)</f>
        <v>0</v>
      </c>
    </row>
    <row r="126" spans="38:46" ht="20.100000000000001" customHeight="1" x14ac:dyDescent="0.4">
      <c r="AQ126" s="318" t="s">
        <v>271</v>
      </c>
      <c r="AR126" s="322">
        <f t="shared" si="10"/>
        <v>0</v>
      </c>
      <c r="AS126" s="327">
        <f>IFERROR(ROUNDDOWN(AR126/2/$C$8,1),0)</f>
        <v>0</v>
      </c>
    </row>
    <row r="127" spans="38:46" ht="20.100000000000001" customHeight="1" x14ac:dyDescent="0.4">
      <c r="AQ127" s="318" t="s">
        <v>272</v>
      </c>
      <c r="AR127" s="322">
        <f t="shared" si="10"/>
        <v>0</v>
      </c>
      <c r="AS127" s="324">
        <f t="shared" si="11"/>
        <v>0</v>
      </c>
    </row>
    <row r="128" spans="38:46" ht="20.100000000000001" customHeight="1" x14ac:dyDescent="0.4">
      <c r="AQ128" s="318" t="s">
        <v>273</v>
      </c>
      <c r="AR128" s="322">
        <f t="shared" si="10"/>
        <v>0</v>
      </c>
      <c r="AS128" s="324">
        <f t="shared" si="11"/>
        <v>0</v>
      </c>
    </row>
  </sheetData>
  <sheetProtection algorithmName="SHA-512" hashValue="8UJ7w/fJL86Bff+Wv+B9B1KoYlZ8pMXJAG9Rmq4pxY2gcK2m66wKvUnVNJhRYIrLA+U1rBUAja5YX5I79p4dJw==" saltValue="sisj8nOpSPGbNJe6eLOwqA==" spinCount="100000" sheet="1" insertRows="0"/>
  <mergeCells count="113">
    <mergeCell ref="C79:E79"/>
    <mergeCell ref="C80:E80"/>
    <mergeCell ref="C111:E111"/>
    <mergeCell ref="C112:E112"/>
    <mergeCell ref="A10:B10"/>
    <mergeCell ref="A11:K11"/>
    <mergeCell ref="C106:E106"/>
    <mergeCell ref="C107:E107"/>
    <mergeCell ref="C108:E108"/>
    <mergeCell ref="C109:E109"/>
    <mergeCell ref="C110:E110"/>
    <mergeCell ref="C101:E101"/>
    <mergeCell ref="C102:E102"/>
    <mergeCell ref="C103:E103"/>
    <mergeCell ref="C104:E104"/>
    <mergeCell ref="C105:E105"/>
    <mergeCell ref="C96:E96"/>
    <mergeCell ref="C97:E97"/>
    <mergeCell ref="C98:E98"/>
    <mergeCell ref="C99:E99"/>
    <mergeCell ref="C100:E100"/>
    <mergeCell ref="C91:E91"/>
    <mergeCell ref="C92:E92"/>
    <mergeCell ref="C95:E95"/>
    <mergeCell ref="C93:E93"/>
    <mergeCell ref="C94:E94"/>
    <mergeCell ref="C88:E88"/>
    <mergeCell ref="C89:E89"/>
    <mergeCell ref="C90:E90"/>
    <mergeCell ref="C81:E81"/>
    <mergeCell ref="C82:E82"/>
    <mergeCell ref="C83:E83"/>
    <mergeCell ref="C84:E84"/>
    <mergeCell ref="C85:E85"/>
    <mergeCell ref="C86:E86"/>
    <mergeCell ref="C87:E87"/>
    <mergeCell ref="C70:E70"/>
    <mergeCell ref="C61:E61"/>
    <mergeCell ref="C62:E62"/>
    <mergeCell ref="C63:E63"/>
    <mergeCell ref="C64:E64"/>
    <mergeCell ref="C65:E65"/>
    <mergeCell ref="C76:E76"/>
    <mergeCell ref="C77:E77"/>
    <mergeCell ref="C78:E78"/>
    <mergeCell ref="C73:E73"/>
    <mergeCell ref="C74:E74"/>
    <mergeCell ref="C75:E75"/>
    <mergeCell ref="C71:E71"/>
    <mergeCell ref="C72:E72"/>
    <mergeCell ref="C60:E60"/>
    <mergeCell ref="C52:E52"/>
    <mergeCell ref="C53:E53"/>
    <mergeCell ref="C54:E54"/>
    <mergeCell ref="C55:E55"/>
    <mergeCell ref="C66:E66"/>
    <mergeCell ref="C67:E67"/>
    <mergeCell ref="C68:E68"/>
    <mergeCell ref="C69:E69"/>
    <mergeCell ref="C36:E36"/>
    <mergeCell ref="C37:E37"/>
    <mergeCell ref="C38:E38"/>
    <mergeCell ref="C39:E39"/>
    <mergeCell ref="C40:E40"/>
    <mergeCell ref="C56:E56"/>
    <mergeCell ref="C57:E57"/>
    <mergeCell ref="C58:E58"/>
    <mergeCell ref="C59:E59"/>
    <mergeCell ref="C42:E42"/>
    <mergeCell ref="C46:E46"/>
    <mergeCell ref="C47:E47"/>
    <mergeCell ref="C48:E48"/>
    <mergeCell ref="C49:E49"/>
    <mergeCell ref="C50:E50"/>
    <mergeCell ref="C43:E43"/>
    <mergeCell ref="C44:E44"/>
    <mergeCell ref="C45:E45"/>
    <mergeCell ref="AP117:AT119"/>
    <mergeCell ref="AN118:AN119"/>
    <mergeCell ref="AO118:AO119"/>
    <mergeCell ref="C12:E12"/>
    <mergeCell ref="C13:E13"/>
    <mergeCell ref="C14:E14"/>
    <mergeCell ref="C15:E15"/>
    <mergeCell ref="C16:E16"/>
    <mergeCell ref="C17:E17"/>
    <mergeCell ref="C18:E18"/>
    <mergeCell ref="C19:E19"/>
    <mergeCell ref="C20:E20"/>
    <mergeCell ref="C31:E31"/>
    <mergeCell ref="C32:E32"/>
    <mergeCell ref="C33:E33"/>
    <mergeCell ref="C51:E51"/>
    <mergeCell ref="C34:E34"/>
    <mergeCell ref="C35:E35"/>
    <mergeCell ref="C26:E26"/>
    <mergeCell ref="C27:E27"/>
    <mergeCell ref="C28:E28"/>
    <mergeCell ref="C29:E29"/>
    <mergeCell ref="C30:E30"/>
    <mergeCell ref="C41:E41"/>
    <mergeCell ref="I2:J2"/>
    <mergeCell ref="H7:J8"/>
    <mergeCell ref="A5:L5"/>
    <mergeCell ref="C21:E21"/>
    <mergeCell ref="C22:E22"/>
    <mergeCell ref="C23:E23"/>
    <mergeCell ref="C24:E24"/>
    <mergeCell ref="C25:E25"/>
    <mergeCell ref="K1:M1"/>
    <mergeCell ref="E6:G6"/>
    <mergeCell ref="F7:G7"/>
    <mergeCell ref="F8:G8"/>
  </mergeCells>
  <phoneticPr fontId="1"/>
  <conditionalFormatting sqref="AG7">
    <cfRule type="containsText" dxfId="20" priority="10" operator="containsText" text="（補助対象員数）">
      <formula>NOT(ISERROR(SEARCH("（補助対象員数）",AG7)))</formula>
    </cfRule>
  </conditionalFormatting>
  <conditionalFormatting sqref="AF13:AF112">
    <cfRule type="containsText" dxfId="19" priority="9" operator="containsText" text="【不備の点】">
      <formula>NOT(ISERROR(SEARCH("【不備の点】",AF13)))</formula>
    </cfRule>
  </conditionalFormatting>
  <conditionalFormatting sqref="AE13:AE112">
    <cfRule type="containsText" dxfId="18" priority="8" operator="containsText" text="×">
      <formula>NOT(ISERROR(SEARCH("×",AE13)))</formula>
    </cfRule>
  </conditionalFormatting>
  <conditionalFormatting sqref="AG7:AJ12">
    <cfRule type="containsText" dxfId="17" priority="6" operator="containsText" text="【未入力有】">
      <formula>NOT(ISERROR(SEARCH("【未入力有】",AG7)))</formula>
    </cfRule>
  </conditionalFormatting>
  <conditionalFormatting sqref="AM118:AN119">
    <cfRule type="containsText" dxfId="16" priority="5" operator="containsText" text="×">
      <formula>NOT(ISERROR(SEARCH("×",AM118)))</formula>
    </cfRule>
  </conditionalFormatting>
  <conditionalFormatting sqref="AO118:AO119">
    <cfRule type="containsText" dxfId="15" priority="4" operator="containsText" text="要修正">
      <formula>NOT(ISERROR(SEARCH("要修正",AO118)))</formula>
    </cfRule>
  </conditionalFormatting>
  <conditionalFormatting sqref="H4:L4 I2 K2:L3">
    <cfRule type="containsText" dxfId="14" priority="3" operator="containsText" text="要修正">
      <formula>NOT(ISERROR(SEARCH("要修正",H2)))</formula>
    </cfRule>
  </conditionalFormatting>
  <conditionalFormatting sqref="AS123:AS128">
    <cfRule type="cellIs" dxfId="13" priority="1" operator="greaterThan">
      <formula>19</formula>
    </cfRule>
  </conditionalFormatting>
  <dataValidations xWindow="1076" yWindow="726" count="9">
    <dataValidation type="list" allowBlank="1" showInputMessage="1" showErrorMessage="1" promptTitle="①「種類」欄はプルダウンリストから選択してください。" prompt="申請できる個人防護具の種類は、_x000a_マスク、ゴーグル、ガウン、グローブ、キャップ、フェイスシールド_x000a_です。" sqref="B13:B112" xr:uid="{00000000-0002-0000-0800-000000000000}">
      <formula1>"マスク,ゴーグル,ガウン,グローブ,キャップ,フェイスシールド"</formula1>
    </dataValidation>
    <dataValidation allowBlank="1" showInputMessage="1" showErrorMessage="1" promptTitle="金額の表示" prompt="数式が入力されているため、自動計算されます。" sqref="J13:J112" xr:uid="{00000000-0002-0000-0800-000001000000}"/>
    <dataValidation allowBlank="1" showInputMessage="1" showErrorMessage="1" promptTitle="添付書類番号" prompt="種類、規格、数量、単価が全て適切に入力され、右の「判定」が「◎」と表示されると自動で番号が表示されます。" sqref="K13:L112" xr:uid="{00000000-0002-0000-0800-000002000000}"/>
    <dataValidation allowBlank="1" showInputMessage="1" showErrorMessage="1" promptTitle="単価の入力" prompt="税抜額または税込額のいずれかを入力してください。_x000a_入力しない方は「0」は入力せず、空欄としてください。" sqref="I13:I112" xr:uid="{00000000-0002-0000-0800-000003000000}"/>
    <dataValidation type="custom" allowBlank="1" showInputMessage="1" showErrorMessage="1" errorTitle="入力数値に誤りがあります。" error="令和４年10月１日から翌年３月31日までの日数の範囲内で入力してください。" sqref="C6" xr:uid="{00000000-0002-0000-0800-000004000000}">
      <formula1>C6&lt;=182</formula1>
    </dataValidation>
    <dataValidation allowBlank="1" showInputMessage="1" showErrorMessage="1" promptTitle="購入単位あたりの内容量を入力" prompt="購入単位あたりの内容量（１箱50枚のマスクならば、「50」）を入力してください。" sqref="F13:F112" xr:uid="{00000000-0002-0000-0800-000005000000}"/>
    <dataValidation allowBlank="1" showInputMessage="1" showErrorMessage="1" promptTitle="購入数量の入力" prompt="購入するセット数を入力してください。（１箱50枚入りのマスクを10箱買う場合は、「10」を入力）" sqref="G13:G112" xr:uid="{00000000-0002-0000-0800-000006000000}"/>
    <dataValidation allowBlank="1" showInputMessage="1" showErrorMessage="1" promptTitle="税抜単価の入力" prompt="購入単価の税抜額を入力してください。_x000a_見積書の記載が税込額だけで、税抜額がわからない場合は上の算出欄をご利用ください。_x000a_入力しない方は「0」は入力せず、空欄としてください。" sqref="H13:H112" xr:uid="{00000000-0002-0000-0800-000007000000}"/>
    <dataValidation allowBlank="1" showInputMessage="1" showErrorMessage="1" promptTitle="品名の入力" prompt="購入予定である個人防護具の品名を入力してください。（型番のみの入力の場合、購入内容が不明のため修正を依頼させていただきますのでご注意ください。）" sqref="C13:E112" xr:uid="{00000000-0002-0000-0800-000008000000}"/>
  </dataValidations>
  <printOptions horizontalCentered="1"/>
  <pageMargins left="0.59055118110236227" right="0.39370078740157483" top="0.39370078740157483" bottom="0.39370078740157483" header="0.31496062992125984" footer="0.31496062992125984"/>
  <pageSetup paperSize="9" scale="65" fitToWidth="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テーブル</vt:lpstr>
      <vt:lpstr>はじめに入力してください</vt:lpstr>
      <vt:lpstr>振込先情報</vt:lpstr>
      <vt:lpstr>請求書</vt:lpstr>
      <vt:lpstr>表紙</vt:lpstr>
      <vt:lpstr>経費書</vt:lpstr>
      <vt:lpstr>額内訳書</vt:lpstr>
      <vt:lpstr>明細（空清機・パーテ・ベッド）</vt:lpstr>
      <vt:lpstr>防護具明細</vt:lpstr>
      <vt:lpstr>診療室明細</vt:lpstr>
      <vt:lpstr>歳入歳出抄本</vt:lpstr>
      <vt:lpstr>リスト</vt:lpstr>
      <vt:lpstr>はじめに入力してください!Print_Area</vt:lpstr>
      <vt:lpstr>リスト!Print_Area</vt:lpstr>
      <vt:lpstr>額内訳書!Print_Area</vt:lpstr>
      <vt:lpstr>経費書!Print_Area</vt:lpstr>
      <vt:lpstr>歳入歳出抄本!Print_Area</vt:lpstr>
      <vt:lpstr>振込先情報!Print_Area</vt:lpstr>
      <vt:lpstr>診療室明細!Print_Area</vt:lpstr>
      <vt:lpstr>請求書!Print_Area</vt:lpstr>
      <vt:lpstr>表紙!Print_Area</vt:lpstr>
      <vt:lpstr>防護具明細!Print_Area</vt:lpstr>
      <vt:lpstr>'明細（空清機・パーテ・ベッド）'!Print_Area</vt:lpstr>
      <vt:lpstr>額内訳書!Print_Titles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cp:lastPrinted>2023-01-25T10:49:11Z</cp:lastPrinted>
  <dcterms:created xsi:type="dcterms:W3CDTF">2021-01-14T08:33:35Z</dcterms:created>
  <dcterms:modified xsi:type="dcterms:W3CDTF">2023-03-30T06:45:49Z</dcterms:modified>
</cp:coreProperties>
</file>